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60" windowWidth="11340" windowHeight="5565" tabRatio="606" activeTab="0"/>
  </bookViews>
  <sheets>
    <sheet name="Capa" sheetId="1" r:id="rId1"/>
    <sheet name="Índice" sheetId="2" r:id="rId2"/>
    <sheet name="1. Resumo Executivo" sheetId="3" r:id="rId3"/>
    <sheet name="2. Resultados (Outcomes-PMR)" sheetId="4" r:id="rId4"/>
    <sheet name="3a. Produtos-Fis (Outputs-PMR)" sheetId="5" r:id="rId5"/>
    <sheet name="3b. Produtos-Fin (Outputs-PMR) " sheetId="6" r:id="rId6"/>
    <sheet name="4. Situação e Plano Ação" sheetId="7" r:id="rId7"/>
    <sheet name="5. Riscos e Plano Mitigação" sheetId="8" r:id="rId8"/>
    <sheet name="6. Cláusulas Contratuais" sheetId="9" r:id="rId9"/>
    <sheet name="7. Alterações no Projeto" sheetId="10" r:id="rId10"/>
    <sheet name="8. Lições Aprend e Boas Prát" sheetId="11" r:id="rId11"/>
    <sheet name="9. Dem Exec Orçamentária" sheetId="12" r:id="rId12"/>
    <sheet name="10. Dem Desemb Fonte-Ano" sheetId="13" r:id="rId13"/>
    <sheet name="11. Dem Execução Financeira" sheetId="14" r:id="rId14"/>
    <sheet name="12. Dem Execução PA" sheetId="15" r:id="rId15"/>
    <sheet name="13. Relação Contr-Obras" sheetId="16" r:id="rId16"/>
    <sheet name="14. Matriz Probl e Soluções" sheetId="17" r:id="rId17"/>
    <sheet name="15. Matriz Risco (Inicial)" sheetId="18" r:id="rId18"/>
    <sheet name="16. Marco Resultados (Inicial)" sheetId="19" r:id="rId19"/>
    <sheet name="17. Quadro Ind (Inicial)" sheetId="20" r:id="rId20"/>
    <sheet name="18. Marco Res (Ajustado-LRR)" sheetId="21" r:id="rId21"/>
    <sheet name="19. Quadro Ind (Ajustado-LRR)" sheetId="22" r:id="rId22"/>
  </sheets>
  <externalReferences>
    <externalReference r:id="rId25"/>
  </externalReferences>
  <definedNames>
    <definedName name="_ftn1" localSheetId="19">'17. Quadro Ind (Inicial)'!$A$49</definedName>
    <definedName name="_ftnref1" localSheetId="19">'17. Quadro Ind (Inicial)'!$A$15</definedName>
    <definedName name="_xlnm.Print_Area" localSheetId="13">'11. Dem Execução Financeira'!$A$1:$J$26</definedName>
    <definedName name="_xlnm.Print_Area" localSheetId="14">'12. Dem Execução PA'!$A$1:$P$73</definedName>
    <definedName name="_xlnm.Print_Area" localSheetId="3">'2. Resultados (Outcomes-PMR)'!$A$1:$P$38</definedName>
    <definedName name="_xlnm.Print_Area" localSheetId="4">'3a. Produtos-Fis (Outputs-PMR)'!$A$1:$AF$60</definedName>
    <definedName name="_xlnm.Print_Area" localSheetId="5">'3b. Produtos-Fin (Outputs-PMR) '!#REF!</definedName>
    <definedName name="_xlnm.Print_Area" localSheetId="6">'4. Situação e Plano Ação'!$A$1:$K$54</definedName>
    <definedName name="Estados">#REF!</definedName>
    <definedName name="Meses">#REF!</definedName>
    <definedName name="OLE_LINK1" localSheetId="19">'17. Quadro Ind (Inicial)'!$B$31</definedName>
    <definedName name="OLE_LINK3" localSheetId="19">'17. Quadro Ind (Inicial)'!$A$35</definedName>
    <definedName name="Responsaveis">'[1]Parâmetros'!$C$8:$C$34</definedName>
    <definedName name="Responsáveis">#REF!</definedName>
    <definedName name="_xlnm.Print_Titles" localSheetId="6">'4. Situação e Plano Ação'!$2:$4</definedName>
    <definedName name="_xlnm.Print_Titles" localSheetId="8">'6. Cláusulas Contratuais'!$2:$3</definedName>
    <definedName name="_xlnm.Print_Titles" localSheetId="9">'7. Alterações no Projeto'!$2:$3</definedName>
  </definedNames>
  <calcPr fullCalcOnLoad="1"/>
</workbook>
</file>

<file path=xl/comments10.xml><?xml version="1.0" encoding="utf-8"?>
<comments xmlns="http://schemas.openxmlformats.org/spreadsheetml/2006/main">
  <authors>
    <author>Luciana Pimentel</author>
    <author>Eugenio</author>
  </authors>
  <commentList>
    <comment ref="G3" authorId="0">
      <text>
        <r>
          <rPr>
            <sz val="8"/>
            <rFont val="Tahoma"/>
            <family val="2"/>
          </rPr>
          <t>Reformulação dos Produtos e Resultados do Projeto  requer aprovação da Representação do BID
Reformulação dos Componentes e Subcomponentes do Projeto requer aprovação da Diretoria do BID.</t>
        </r>
      </text>
    </comment>
    <comment ref="H3" authorId="0">
      <text>
        <r>
          <rPr>
            <sz val="8"/>
            <rFont val="Tahoma"/>
            <family val="2"/>
          </rPr>
          <t>Reformulação dos Produtos e Resultados do Projeto  requer aprovação da Representação do BID
Reformulação dos Componentes e Subcomponentes do Projeto requer aprovação da Diretoria do BID.</t>
        </r>
      </text>
    </comment>
    <comment ref="C3" authorId="1">
      <text>
        <r>
          <rPr>
            <b/>
            <sz val="9"/>
            <rFont val="Tahoma"/>
            <family val="2"/>
          </rPr>
          <t>Conforme OA-420</t>
        </r>
      </text>
    </comment>
    <comment ref="D3" authorId="1">
      <text>
        <r>
          <rPr>
            <b/>
            <sz val="9"/>
            <rFont val="Tahoma"/>
            <family val="2"/>
          </rPr>
          <t>Conforme OA-420</t>
        </r>
      </text>
    </comment>
  </commentList>
</comments>
</file>

<file path=xl/comments12.xml><?xml version="1.0" encoding="utf-8"?>
<comments xmlns="http://schemas.openxmlformats.org/spreadsheetml/2006/main">
  <authors>
    <author>Eugenio</author>
  </authors>
  <commentList>
    <comment ref="C4" authorId="0">
      <text>
        <r>
          <rPr>
            <b/>
            <sz val="9"/>
            <rFont val="Tahoma"/>
            <family val="2"/>
          </rPr>
          <t>Conforme Contrato de Empréstimo</t>
        </r>
        <r>
          <rPr>
            <sz val="9"/>
            <rFont val="Tahoma"/>
            <family val="2"/>
          </rPr>
          <t xml:space="preserve">
</t>
        </r>
      </text>
    </comment>
    <comment ref="F4" authorId="0">
      <text>
        <r>
          <rPr>
            <b/>
            <sz val="9"/>
            <rFont val="Tahoma"/>
            <family val="2"/>
          </rPr>
          <t>Último orçamento aprovado</t>
        </r>
        <r>
          <rPr>
            <sz val="9"/>
            <rFont val="Tahoma"/>
            <family val="2"/>
          </rPr>
          <t xml:space="preserve">
</t>
        </r>
      </text>
    </comment>
    <comment ref="C20" authorId="0">
      <text>
        <r>
          <rPr>
            <b/>
            <sz val="9"/>
            <rFont val="Tahoma"/>
            <family val="2"/>
          </rPr>
          <t>Conforme Contrato de Empréstimo</t>
        </r>
        <r>
          <rPr>
            <sz val="9"/>
            <rFont val="Tahoma"/>
            <family val="2"/>
          </rPr>
          <t xml:space="preserve">
</t>
        </r>
      </text>
    </comment>
    <comment ref="F20" authorId="0">
      <text>
        <r>
          <rPr>
            <b/>
            <sz val="9"/>
            <rFont val="Tahoma"/>
            <family val="2"/>
          </rPr>
          <t>Último orçamento aprovado</t>
        </r>
        <r>
          <rPr>
            <sz val="9"/>
            <rFont val="Tahoma"/>
            <family val="2"/>
          </rPr>
          <t xml:space="preserve">
</t>
        </r>
      </text>
    </comment>
  </commentList>
</comments>
</file>

<file path=xl/comments13.xml><?xml version="1.0" encoding="utf-8"?>
<comments xmlns="http://schemas.openxmlformats.org/spreadsheetml/2006/main">
  <authors>
    <author>Eugenio</author>
    <author>10395313</author>
  </authors>
  <commentList>
    <comment ref="A4" authorId="0">
      <text>
        <r>
          <rPr>
            <b/>
            <sz val="9"/>
            <rFont val="Tahoma"/>
            <family val="2"/>
          </rPr>
          <t>Inserir tantos anos quantos forem os de desembolso do Projeto</t>
        </r>
      </text>
    </comment>
    <comment ref="A6" authorId="1">
      <text>
        <r>
          <rPr>
            <b/>
            <sz val="8"/>
            <rFont val="Tahoma"/>
            <family val="0"/>
          </rPr>
          <t>10395313:</t>
        </r>
        <r>
          <rPr>
            <sz val="8"/>
            <rFont val="Tahoma"/>
            <family val="0"/>
          </rPr>
          <t xml:space="preserve">
2009</t>
        </r>
      </text>
    </comment>
    <comment ref="A7" authorId="1">
      <text>
        <r>
          <rPr>
            <b/>
            <sz val="8"/>
            <rFont val="Tahoma"/>
            <family val="0"/>
          </rPr>
          <t>10395313:</t>
        </r>
        <r>
          <rPr>
            <sz val="8"/>
            <rFont val="Tahoma"/>
            <family val="0"/>
          </rPr>
          <t xml:space="preserve">
2010
</t>
        </r>
      </text>
    </comment>
    <comment ref="A8" authorId="1">
      <text>
        <r>
          <rPr>
            <b/>
            <sz val="8"/>
            <rFont val="Tahoma"/>
            <family val="0"/>
          </rPr>
          <t>10395313:</t>
        </r>
        <r>
          <rPr>
            <sz val="8"/>
            <rFont val="Tahoma"/>
            <family val="0"/>
          </rPr>
          <t xml:space="preserve">
2011
</t>
        </r>
      </text>
    </comment>
    <comment ref="A18" authorId="1">
      <text>
        <r>
          <rPr>
            <b/>
            <sz val="8"/>
            <rFont val="Tahoma"/>
            <family val="0"/>
          </rPr>
          <t>10395313:</t>
        </r>
        <r>
          <rPr>
            <sz val="8"/>
            <rFont val="Tahoma"/>
            <family val="0"/>
          </rPr>
          <t xml:space="preserve">
2009</t>
        </r>
      </text>
    </comment>
    <comment ref="A19" authorId="1">
      <text>
        <r>
          <rPr>
            <b/>
            <sz val="8"/>
            <rFont val="Tahoma"/>
            <family val="0"/>
          </rPr>
          <t>10395313:</t>
        </r>
        <r>
          <rPr>
            <sz val="8"/>
            <rFont val="Tahoma"/>
            <family val="0"/>
          </rPr>
          <t xml:space="preserve">
2010
</t>
        </r>
      </text>
    </comment>
    <comment ref="A20" authorId="1">
      <text>
        <r>
          <rPr>
            <b/>
            <sz val="8"/>
            <rFont val="Tahoma"/>
            <family val="0"/>
          </rPr>
          <t>10395313:</t>
        </r>
        <r>
          <rPr>
            <sz val="8"/>
            <rFont val="Tahoma"/>
            <family val="0"/>
          </rPr>
          <t xml:space="preserve">
2011
</t>
        </r>
      </text>
    </comment>
    <comment ref="B4" authorId="1">
      <text>
        <r>
          <rPr>
            <b/>
            <sz val="8"/>
            <rFont val="Tahoma"/>
            <family val="0"/>
          </rPr>
          <t>10395313:</t>
        </r>
        <r>
          <rPr>
            <sz val="8"/>
            <rFont val="Tahoma"/>
            <family val="0"/>
          </rPr>
          <t xml:space="preserve">
Está com o PAI da Missão de Supervisão
</t>
        </r>
      </text>
    </comment>
  </commentList>
</comments>
</file>

<file path=xl/comments15.xml><?xml version="1.0" encoding="utf-8"?>
<comments xmlns="http://schemas.openxmlformats.org/spreadsheetml/2006/main">
  <authors>
    <author>10395313</author>
  </authors>
  <commentList>
    <comment ref="C24" authorId="0">
      <text>
        <r>
          <rPr>
            <b/>
            <sz val="8"/>
            <rFont val="Tahoma"/>
            <family val="0"/>
          </rPr>
          <t>10395313:</t>
        </r>
        <r>
          <rPr>
            <sz val="8"/>
            <rFont val="Tahoma"/>
            <family val="0"/>
          </rPr>
          <t xml:space="preserve">
Transferido para 8.2 (infra-estrutura) R$ 400.000,00
</t>
        </r>
      </text>
    </comment>
    <comment ref="D35" authorId="0">
      <text>
        <r>
          <rPr>
            <b/>
            <sz val="8"/>
            <rFont val="Tahoma"/>
            <family val="0"/>
          </rPr>
          <t>10395313:</t>
        </r>
        <r>
          <rPr>
            <sz val="8"/>
            <rFont val="Tahoma"/>
            <family val="0"/>
          </rPr>
          <t xml:space="preserve">
Dólar de 1,7904
</t>
        </r>
      </text>
    </comment>
  </commentList>
</comments>
</file>

<file path=xl/comments3.xml><?xml version="1.0" encoding="utf-8"?>
<comments xmlns="http://schemas.openxmlformats.org/spreadsheetml/2006/main">
  <authors>
    <author>10395313</author>
  </authors>
  <commentList>
    <comment ref="B29" authorId="0">
      <text>
        <r>
          <rPr>
            <b/>
            <sz val="8"/>
            <rFont val="Tahoma"/>
            <family val="0"/>
          </rPr>
          <t>10395313:</t>
        </r>
        <r>
          <rPr>
            <sz val="8"/>
            <rFont val="Tahoma"/>
            <family val="0"/>
          </rPr>
          <t xml:space="preserve">
US$ 8.335.000,00 (scanner);
US$ 2.529.042,00 (Balanças)
R$ 36.000,00 Amana
R$ 100.000,00 (Auditoria);
R$ 133.029 (Precatório);
R$ 2.513.101,00 (Dom Cabral);
R$ 482.865,76 (Saldo
Allen);
R$ 143.874,28 (Saldo da Softium);
R$ 56.609,52 (Saldo Cetrede)</t>
        </r>
      </text>
    </comment>
  </commentList>
</comments>
</file>

<file path=xl/comments5.xml><?xml version="1.0" encoding="utf-8"?>
<comments xmlns="http://schemas.openxmlformats.org/spreadsheetml/2006/main">
  <authors>
    <author>10395313</author>
    <author>user</author>
    <author>Nestor Ares</author>
  </authors>
  <commentList>
    <comment ref="D3" authorId="0">
      <text>
        <r>
          <rPr>
            <b/>
            <sz val="8"/>
            <rFont val="Tahoma"/>
            <family val="2"/>
          </rPr>
          <t>10395313:</t>
        </r>
        <r>
          <rPr>
            <sz val="8"/>
            <rFont val="Tahoma"/>
            <family val="2"/>
          </rPr>
          <t xml:space="preserve">
valores realizados e constante no 1° relatório de desembolso. Valor do dólar: 1,7088</t>
        </r>
      </text>
    </comment>
    <comment ref="A6" authorId="1">
      <text>
        <r>
          <rPr>
            <b/>
            <sz val="9"/>
            <rFont val="Tahoma"/>
            <family val="2"/>
          </rPr>
          <t>Inserir tantos Componentes quantos sejam necessários.</t>
        </r>
      </text>
    </comment>
    <comment ref="E6" authorId="2">
      <text>
        <r>
          <rPr>
            <b/>
            <sz val="8"/>
            <rFont val="Tahoma"/>
            <family val="2"/>
          </rPr>
          <t>Inserir o progresso por unidade</t>
        </r>
      </text>
    </comment>
    <comment ref="B10" authorId="1">
      <text>
        <r>
          <rPr>
            <b/>
            <sz val="9"/>
            <rFont val="Tahoma"/>
            <family val="2"/>
          </rPr>
          <t>Inserir tantos indicadores quantos sejam necessários.</t>
        </r>
      </text>
    </comment>
    <comment ref="E60" authorId="0">
      <text>
        <r>
          <rPr>
            <b/>
            <sz val="8"/>
            <rFont val="Tahoma"/>
            <family val="0"/>
          </rPr>
          <t>10395313:</t>
        </r>
        <r>
          <rPr>
            <sz val="8"/>
            <rFont val="Tahoma"/>
            <family val="0"/>
          </rPr>
          <t xml:space="preserve">
Todos as oportunidades constantes do relatório de RH, inclusive prós-graduaçào. Ressalta os cursos com a ESAF</t>
        </r>
      </text>
    </comment>
    <comment ref="G60" authorId="0">
      <text>
        <r>
          <rPr>
            <b/>
            <sz val="8"/>
            <rFont val="Tahoma"/>
            <family val="0"/>
          </rPr>
          <t xml:space="preserve">10395313: 
Todas as oportunidades do relatório de RH, inclusive pós-graduação. Destaque para os cursos gerenciais com </t>
        </r>
        <r>
          <rPr>
            <sz val="8"/>
            <rFont val="Tahoma"/>
            <family val="0"/>
          </rPr>
          <t xml:space="preserve">19 (Amana) e 116 (Cetrede)
</t>
        </r>
      </text>
    </comment>
    <comment ref="B8" authorId="1">
      <text>
        <r>
          <rPr>
            <b/>
            <sz val="9"/>
            <rFont val="Tahoma"/>
            <family val="2"/>
          </rPr>
          <t>Inserir tantos indicadores quantos sejam necessários.</t>
        </r>
      </text>
    </comment>
  </commentList>
</comments>
</file>

<file path=xl/comments6.xml><?xml version="1.0" encoding="utf-8"?>
<comments xmlns="http://schemas.openxmlformats.org/spreadsheetml/2006/main">
  <authors>
    <author>10395313</author>
    <author>Nestor Ares</author>
  </authors>
  <commentList>
    <comment ref="U3" authorId="0">
      <text>
        <r>
          <rPr>
            <b/>
            <sz val="8"/>
            <rFont val="Tahoma"/>
            <family val="2"/>
          </rPr>
          <t>10395313:</t>
        </r>
        <r>
          <rPr>
            <sz val="8"/>
            <rFont val="Tahoma"/>
            <family val="2"/>
          </rPr>
          <t xml:space="preserve">
DÓLAR DO 1° RELATÓRIO DE DESEMBOLSO</t>
        </r>
      </text>
    </comment>
    <comment ref="D7" authorId="1">
      <text>
        <r>
          <rPr>
            <b/>
            <sz val="8"/>
            <rFont val="Tahoma"/>
            <family val="2"/>
          </rPr>
          <t>Inserir valor planejado</t>
        </r>
        <r>
          <rPr>
            <sz val="8"/>
            <rFont val="Tahoma"/>
            <family val="2"/>
          </rPr>
          <t xml:space="preserve">
</t>
        </r>
      </text>
    </comment>
    <comment ref="E7" authorId="1">
      <text>
        <r>
          <rPr>
            <b/>
            <sz val="8"/>
            <rFont val="Tahoma"/>
            <family val="2"/>
          </rPr>
          <t>Calculado como Percentual realizado / Planejado.</t>
        </r>
        <r>
          <rPr>
            <sz val="8"/>
            <rFont val="Tahoma"/>
            <family val="2"/>
          </rPr>
          <t xml:space="preserve">
Se não há dados sobre o custo, substitua pelo custo real.</t>
        </r>
      </text>
    </comment>
    <comment ref="U2" authorId="0">
      <text>
        <r>
          <rPr>
            <b/>
            <sz val="8"/>
            <rFont val="Tahoma"/>
            <family val="2"/>
          </rPr>
          <t>10395313:</t>
        </r>
        <r>
          <rPr>
            <sz val="8"/>
            <rFont val="Tahoma"/>
            <family val="2"/>
          </rPr>
          <t xml:space="preserve">
DÓLAR DO 2° RELATÓRIO DE DESEMBOLSO</t>
        </r>
      </text>
    </comment>
    <comment ref="G25" authorId="0">
      <text>
        <r>
          <rPr>
            <b/>
            <sz val="8"/>
            <rFont val="Tahoma"/>
            <family val="0"/>
          </rPr>
          <t>10395313:</t>
        </r>
        <r>
          <rPr>
            <sz val="8"/>
            <rFont val="Tahoma"/>
            <family val="0"/>
          </rPr>
          <t xml:space="preserve">
R$ 441.079,86 (CIPHER -Solução de rede de segurança (backup); R$ 263.033,00 (ENERGY - Inspeção de conteúdo; R$ 22.934,00 (Lanlink - Fita LTO)
</t>
        </r>
      </text>
    </comment>
    <comment ref="G34" authorId="0">
      <text>
        <r>
          <rPr>
            <b/>
            <sz val="8"/>
            <rFont val="Tahoma"/>
            <family val="0"/>
          </rPr>
          <t>10395313:</t>
        </r>
        <r>
          <rPr>
            <sz val="8"/>
            <rFont val="Tahoma"/>
            <family val="0"/>
          </rPr>
          <t xml:space="preserve">
R$  144.000 (Amana);  R$ 41.684,72 (ESAF)
R$  27.000 (Amana); 
R$ 17.690,48 (Cetrede)
</t>
        </r>
      </text>
    </comment>
  </commentList>
</comments>
</file>

<file path=xl/comments7.xml><?xml version="1.0" encoding="utf-8"?>
<comments xmlns="http://schemas.openxmlformats.org/spreadsheetml/2006/main">
  <authors>
    <author>Luciana</author>
  </authors>
  <commentList>
    <comment ref="G3" authorId="0">
      <text>
        <r>
          <rPr>
            <b/>
            <sz val="9"/>
            <rFont val="Tahoma"/>
            <family val="2"/>
          </rPr>
          <t>Classificar o problema de acordo com o grau de dificuldade e o impacto no desenvolvimento do produto: 1 (baixo); 2 (médio) e 3 (alto)</t>
        </r>
      </text>
    </comment>
    <comment ref="C3" authorId="0">
      <text>
        <r>
          <rPr>
            <b/>
            <sz val="9"/>
            <rFont val="Tahoma"/>
            <family val="2"/>
          </rPr>
          <t>Na implementação do produto: 
(i) problema versus solução
(ii) contribuição para o resultado</t>
        </r>
      </text>
    </comment>
    <comment ref="E3" authorId="0">
      <text>
        <r>
          <rPr>
            <b/>
            <sz val="9"/>
            <rFont val="Tahoma"/>
            <family val="2"/>
          </rPr>
          <t>Na implementação do produto: 
(i) problema versus solução
(ii) contribuição para o resultado</t>
        </r>
      </text>
    </comment>
  </commentList>
</comments>
</file>

<file path=xl/comments8.xml><?xml version="1.0" encoding="utf-8"?>
<comments xmlns="http://schemas.openxmlformats.org/spreadsheetml/2006/main">
  <authors>
    <author>veronicao</author>
    <author>jorgeq</author>
  </authors>
  <commentList>
    <comment ref="G3" authorId="0">
      <text>
        <r>
          <rPr>
            <sz val="8"/>
            <rFont val="Tahoma"/>
            <family val="2"/>
          </rPr>
          <t xml:space="preserve">Descrever como será desenvolvida a atividade prevista como ação de mitigação. Exemplo: contratação de consultor  para revisão ex-post. 
</t>
        </r>
      </text>
    </comment>
    <comment ref="M3" authorId="1">
      <text>
        <r>
          <rPr>
            <sz val="10"/>
            <rFont val="Tahoma"/>
            <family val="2"/>
          </rPr>
          <t>Descrever qual o meio de verificação da realização da atividade de mitigação. O indicador de cumprimento deve permitir medir a efetividade da ação de mitigação. Exemplo, relatório de revisão ex-post do consultor, discutido e aceito pelo Cliente e pelo Banco.</t>
        </r>
      </text>
    </comment>
  </commentList>
</comments>
</file>

<file path=xl/sharedStrings.xml><?xml version="1.0" encoding="utf-8"?>
<sst xmlns="http://schemas.openxmlformats.org/spreadsheetml/2006/main" count="2589" uniqueCount="1537">
  <si>
    <t xml:space="preserve">Indefinição das pessoas que serão capacitadas, tendo em vista a condição dos servidores terceirizados x Certificação digital. </t>
  </si>
  <si>
    <t>Não foi priorizado em 2010</t>
  </si>
  <si>
    <t>Data atual do último desembolso</t>
  </si>
  <si>
    <t>Extensão acumulada (meses)</t>
  </si>
  <si>
    <t xml:space="preserve">% comprometido do empréstimo </t>
  </si>
  <si>
    <t>% desembolsado do empréstimo</t>
  </si>
  <si>
    <t>Ato de criação da unidade</t>
  </si>
  <si>
    <t>1.2 Datas chave posteriores à aprovação por parte da diretoria</t>
  </si>
  <si>
    <t>Data de aprovação pela diretoria do Banco</t>
  </si>
  <si>
    <t>% executado da contrapartida</t>
  </si>
  <si>
    <t>Valor do empréstimo aprovado (US$)</t>
  </si>
  <si>
    <t>Valor da contrapartida (US$)</t>
  </si>
  <si>
    <t>Valor total do projeto (US$)</t>
  </si>
  <si>
    <t>Valor comprometido do empréstimo (US$)</t>
  </si>
  <si>
    <t>Valor desembolsado do empréstimo (US$)</t>
  </si>
  <si>
    <t>Valor executado da contrapartida (US$)</t>
  </si>
  <si>
    <t>Data deste relatório</t>
  </si>
  <si>
    <t>Data do último relatório</t>
  </si>
  <si>
    <t>Data para apresentação do PCR</t>
  </si>
  <si>
    <t>Data para apresentação do LRR</t>
  </si>
  <si>
    <t>Data da análise de risco inicial</t>
  </si>
  <si>
    <t>Data da revisão da análise de risco</t>
  </si>
  <si>
    <t>Data da última visita de supervisão</t>
  </si>
  <si>
    <t>Probabilidade (10% a 100%)</t>
  </si>
  <si>
    <t>Nível</t>
  </si>
  <si>
    <t>1.3 Mutuário e condições chave</t>
  </si>
  <si>
    <t>Execução desde a aprovação (meses)</t>
  </si>
  <si>
    <t>Execução desde a assinatura do contrato (meses)</t>
  </si>
  <si>
    <t xml:space="preserve">SUBTOTAL </t>
  </si>
  <si>
    <t xml:space="preserve">Prazo para o último desembolso </t>
  </si>
  <si>
    <t xml:space="preserve">Evidência dos recursos da contrapartida local </t>
  </si>
  <si>
    <t>Relatórios Anuais de Auditoria</t>
  </si>
  <si>
    <t>COMENTÁRIOS</t>
  </si>
  <si>
    <t>Disposições Especiais</t>
  </si>
  <si>
    <t>Temas</t>
  </si>
  <si>
    <t>Índice</t>
  </si>
  <si>
    <t>Assunto</t>
  </si>
  <si>
    <t>Capa do Relatório</t>
  </si>
  <si>
    <t>Descrição</t>
  </si>
  <si>
    <t>Data Aprovação (quando for o caso)</t>
  </si>
  <si>
    <t>Pareceres Jurídicos</t>
  </si>
  <si>
    <t>Representantes autorizados</t>
  </si>
  <si>
    <t>Programação orçamentária - 1o ano</t>
  </si>
  <si>
    <t>Plano de Contas</t>
  </si>
  <si>
    <t>Auditoria Independente</t>
  </si>
  <si>
    <t>Taxa de Juros</t>
  </si>
  <si>
    <t>Data cumprimento</t>
  </si>
  <si>
    <t>Ofício de resposta</t>
  </si>
  <si>
    <t>Normas Gerais</t>
  </si>
  <si>
    <t>Data limite original</t>
  </si>
  <si>
    <t>Data limite vigente</t>
  </si>
  <si>
    <t>PA - Anual ou quando necessário</t>
  </si>
  <si>
    <t>Relatório Semestral de Progresso</t>
  </si>
  <si>
    <t xml:space="preserve">Condições Prévias ao 1º Desembolso </t>
  </si>
  <si>
    <t>Observação</t>
  </si>
  <si>
    <t>BID</t>
  </si>
  <si>
    <t>Local</t>
  </si>
  <si>
    <t>TOTAL</t>
  </si>
  <si>
    <t>CATEGORIAS</t>
  </si>
  <si>
    <t>Componente, Subcomponentes e Podutos atendidos</t>
  </si>
  <si>
    <t>Especificação do Contrato (*)</t>
  </si>
  <si>
    <t>Forma apresentação Relatório</t>
  </si>
  <si>
    <t>(*) Anexar Relatório = Impresso, CD, DVD, Pen-drive</t>
  </si>
  <si>
    <t>Valor total contrato</t>
  </si>
  <si>
    <t>Avaliação gobal serviços</t>
  </si>
  <si>
    <t>Prazo de duração (em meses)</t>
  </si>
  <si>
    <t>Prazo de duração 
(em meses)</t>
  </si>
  <si>
    <t>NOME</t>
  </si>
  <si>
    <t xml:space="preserve">BID </t>
  </si>
  <si>
    <t>LOCAL</t>
  </si>
  <si>
    <t>CUSTO TOTAL</t>
  </si>
  <si>
    <t>PARI-PASSU (%)</t>
  </si>
  <si>
    <t>Total</t>
  </si>
  <si>
    <t>ORÇAMENTO VIGENTE</t>
  </si>
  <si>
    <t>ORÇAMENTO EXECUTADO</t>
  </si>
  <si>
    <t>ORÇAMENTO ORIGINAL</t>
  </si>
  <si>
    <t>% EXECUTADO</t>
  </si>
  <si>
    <t>Demonstrativo de Execução Orçamentária</t>
  </si>
  <si>
    <t>US$ 1,00</t>
  </si>
  <si>
    <t>Demonstrativo de Desembolso por Fonte-Ano</t>
  </si>
  <si>
    <t xml:space="preserve">Total </t>
  </si>
  <si>
    <t>VALOR</t>
  </si>
  <si>
    <t>Em fase de envio de SDP para as empresas que responderam manifestação de interesse</t>
  </si>
  <si>
    <t>DIFERENÇA</t>
  </si>
  <si>
    <t>Demonstrativo de Execução Financeira</t>
  </si>
  <si>
    <t>Demonstrativo de Execução do PA</t>
  </si>
  <si>
    <t>DESEMBOLSO ACUMULADO</t>
  </si>
  <si>
    <t>11. DEMONSTRATIVO DE EXECUÇÃO FINANCEIRA</t>
  </si>
  <si>
    <t>COMPONENTES/SUBCOMPONENTES/PRODUTOS</t>
  </si>
  <si>
    <t>AVANÇOS</t>
  </si>
  <si>
    <t>DIFICULDADES</t>
  </si>
  <si>
    <t>AÇÃO PARA SOLUÇÃO DA DIFICULDADE</t>
  </si>
  <si>
    <t>RESPONSÁVEL</t>
  </si>
  <si>
    <t>DATA PLANEJADA</t>
  </si>
  <si>
    <t>Riscos e Plano de Mitigação (GRP/PMR)</t>
  </si>
  <si>
    <t>RESULTADOS</t>
  </si>
  <si>
    <t>IMPACTOS</t>
  </si>
  <si>
    <t>2. IMPACTOS E RESULTADOS DO PROJETO (Outcomes - PMR)</t>
  </si>
  <si>
    <t>Impactos e Resultados (Outcomes - PMR)</t>
  </si>
  <si>
    <t xml:space="preserve">Progresso na Implementação dos Produtos (Outputs - PMR) </t>
  </si>
  <si>
    <t xml:space="preserve">Ano V - </t>
  </si>
  <si>
    <t>N° 072/2010</t>
  </si>
  <si>
    <t>CSC/CBR-3415/2010</t>
  </si>
  <si>
    <t>BRASIL</t>
  </si>
  <si>
    <t>Contrato de Empréstimo: 2044 OC-BR</t>
  </si>
  <si>
    <t xml:space="preserve">PLANO DE AQUISIÇÕES (PA) - 18 MESES </t>
  </si>
  <si>
    <t>Atualizado por:  UCP/CE</t>
  </si>
  <si>
    <t>Dólar</t>
  </si>
  <si>
    <t>N°</t>
  </si>
  <si>
    <t>Produto Vinculado no PA/POA</t>
  </si>
  <si>
    <t>Descrição do Contrato</t>
  </si>
  <si>
    <t>Custo</t>
  </si>
  <si>
    <t>Método</t>
  </si>
  <si>
    <t>Revisão</t>
  </si>
  <si>
    <t>Fonte</t>
  </si>
  <si>
    <t>Datas Estimadas</t>
  </si>
  <si>
    <t>Status</t>
  </si>
  <si>
    <t>Comentário</t>
  </si>
  <si>
    <t>Estimado (1000)</t>
  </si>
  <si>
    <t>Aquisição</t>
  </si>
  <si>
    <t>Publicação</t>
  </si>
  <si>
    <t>Término</t>
  </si>
  <si>
    <t>(US$ =R$ [indicar])</t>
  </si>
  <si>
    <t>(1)</t>
  </si>
  <si>
    <t>(2)</t>
  </si>
  <si>
    <t>(%)</t>
  </si>
  <si>
    <t>Anúncio</t>
  </si>
  <si>
    <t>Contrato</t>
  </si>
  <si>
    <t>(3)</t>
  </si>
  <si>
    <t>1. SERVIÇOS DE CONSULTORIA</t>
  </si>
  <si>
    <t>Desenvolver, testar  e capacitar  600 servidores na solução - Nfe</t>
  </si>
  <si>
    <t>TP</t>
  </si>
  <si>
    <t>EXP</t>
  </si>
  <si>
    <t>Desenvolver, testar  e capacitar  500 servidores na solução - Sped Fiscal</t>
  </si>
  <si>
    <t>Desenvolver, testar  e capacitar  500 servidores na solução - Sped Contábil</t>
  </si>
  <si>
    <t>EXA</t>
  </si>
  <si>
    <t>SUBTOTAL DE CONSULTORIA</t>
  </si>
  <si>
    <t xml:space="preserve">2. OBRAS </t>
  </si>
  <si>
    <t>SUBTOTAL DE OBRAS</t>
  </si>
  <si>
    <t>3. BENS</t>
  </si>
  <si>
    <t>P2.1; P2.5</t>
  </si>
  <si>
    <t>05 Kits de captura do Raio-x da Carga e Instalação</t>
  </si>
  <si>
    <t>LIL</t>
  </si>
  <si>
    <t>P 2.1</t>
  </si>
  <si>
    <t>Kit para registrar peso do veículo</t>
  </si>
  <si>
    <t>ARP</t>
  </si>
  <si>
    <t>P 3.4</t>
  </si>
  <si>
    <t>Sistema de armazenamento em rede san tipo 4 (Storage)</t>
  </si>
  <si>
    <t>Adesão RP 24/2009, Pregão Presencial 77/2009 Secretaria Municipal de Administração RJ, Valor R$ 930.251,28</t>
  </si>
  <si>
    <t>PE</t>
  </si>
  <si>
    <t>Adquirido módulo de segurança em hardware (criptografia) valor R$ 440.000,00.</t>
  </si>
  <si>
    <t>Solução de Firewall com recursos de VPN e solução de IPS baseada em Appliance</t>
  </si>
  <si>
    <t>Equipamentos de suporte para sala de treinamento (filmadora, DVD, projetor, tela, som, gravador e gelágua)</t>
  </si>
  <si>
    <t>SUBTORAL DE BENS</t>
  </si>
  <si>
    <t>4. SERVIÇOS TÉCNICOS (Serviços que não São de Consultoria)</t>
  </si>
  <si>
    <t xml:space="preserve"> P1.1; 7.1</t>
  </si>
  <si>
    <t>Produção e impressão do material de divulgação e preparação de material e realização de eventos de divulgação das políticas de RH.</t>
  </si>
  <si>
    <t>Modalidade 
BID</t>
  </si>
  <si>
    <t>Capacitar 10 servidores em (Monitoramento, avaliação, indicadores de desempenho, licitações internacionais)</t>
  </si>
  <si>
    <t xml:space="preserve">Implantação de Banco de Dados Oracle </t>
  </si>
  <si>
    <t>Adquirido serviço de consultoria na área de Banco de Dados, valor do contrato 68.999,00, pago R$ 12.570,33</t>
  </si>
  <si>
    <t>Seminário: 125 vagas seminários para promover multiplicação do conhecimento de ferramentas e processos de TI</t>
  </si>
  <si>
    <t>CD</t>
  </si>
  <si>
    <t>Convênio SEFAZ/ESAF. Foram realizados 1 (uma) turma de Comércio Exterior, no valor de R$ 13.727,50</t>
  </si>
  <si>
    <t>Convênio SEFAZ/ESAF. Foram realizadas 2 (duas) turmas de Execução Orçamentária e Financeira, no valor de R$ 10.702,41.</t>
  </si>
  <si>
    <t>Convênio SEFAZ/ESAF. Foram realizados 4 (quatro) turmas de Excelência Profissional, no valor de R$ 11.603,27</t>
  </si>
  <si>
    <t>1) Publicado extrato do contrato no DOE 3/1/2011;
2) Emitida Ordem de Serviço em 5/1/2011;
3) Valor previsto no PAI: R$ 32.513.000,00;
4) Valor previsto no PAI  para contrapartida no subcomponente 2: R$ 6.481.003,00
5) Produto financiado pelo BID: Scanner Móvel, scanner fixo, treinamento, instalação, configuração, montagem,  e suporte técnico, totalizando R$ 24.518.650,00.</t>
  </si>
  <si>
    <t>Convênio SEFAZ/ESAF. Foi realizado 1 (um) seminário de Certificação Digital, no valor de R$ 5.651,54</t>
  </si>
  <si>
    <t>Capacitação: 23 vagas para curso de Programa de Desenvolvimento Gerencial</t>
  </si>
  <si>
    <t>Capacitação: 480 vagas para curso de Programa de Desenvolvimento de Servidor Púbico e Gestor Público</t>
  </si>
  <si>
    <t>Sob análise do BID</t>
  </si>
  <si>
    <t>SUBTOTAL DE  SERVIÇOS TÉCNICOS</t>
  </si>
  <si>
    <t>VALOR TOTAL</t>
  </si>
  <si>
    <t>PERCENTUAL (%) POR FONTE</t>
  </si>
  <si>
    <t>100,00</t>
  </si>
  <si>
    <t>Notas:</t>
  </si>
  <si>
    <t>(4)</t>
  </si>
  <si>
    <t>(5)</t>
  </si>
  <si>
    <t>(6)</t>
  </si>
  <si>
    <t>(7)</t>
  </si>
  <si>
    <t>(8)</t>
  </si>
  <si>
    <r>
      <t xml:space="preserve">Programa </t>
    </r>
    <r>
      <rPr>
        <b/>
        <sz val="11"/>
        <color indexed="10"/>
        <rFont val="Calibri"/>
        <family val="2"/>
      </rPr>
      <t>Modernização da Gestão Fiscal do Estado do Ceará</t>
    </r>
  </si>
  <si>
    <r>
      <t xml:space="preserve">Atualizado em: </t>
    </r>
    <r>
      <rPr>
        <b/>
        <sz val="11"/>
        <color indexed="10"/>
        <rFont val="Calibri"/>
        <family val="2"/>
      </rPr>
      <t xml:space="preserve"> 23/11/2010</t>
    </r>
  </si>
  <si>
    <r>
      <t xml:space="preserve">Atualização Nº: </t>
    </r>
    <r>
      <rPr>
        <b/>
        <sz val="11"/>
        <color indexed="10"/>
        <rFont val="Calibri"/>
        <family val="2"/>
      </rPr>
      <t>[indicar]</t>
    </r>
  </si>
  <si>
    <r>
      <t>Métodos de Aquisição</t>
    </r>
    <r>
      <rPr>
        <sz val="10"/>
        <color indexed="8"/>
        <rFont val="Calibri"/>
        <family val="0"/>
      </rPr>
      <t>: (</t>
    </r>
    <r>
      <rPr>
        <b/>
        <sz val="10"/>
        <color indexed="8"/>
        <rFont val="Calibri"/>
        <family val="0"/>
      </rPr>
      <t>a) BID: LPI:</t>
    </r>
    <r>
      <rPr>
        <sz val="10"/>
        <color indexed="8"/>
        <rFont val="Calibri"/>
        <family val="0"/>
      </rPr>
      <t xml:space="preserve"> Licitação Pública Internacional; </t>
    </r>
    <r>
      <rPr>
        <b/>
        <sz val="10"/>
        <color indexed="8"/>
        <rFont val="Calibri"/>
        <family val="0"/>
      </rPr>
      <t>LPN:</t>
    </r>
    <r>
      <rPr>
        <sz val="10"/>
        <color indexed="8"/>
        <rFont val="Calibri"/>
        <family val="0"/>
      </rPr>
      <t xml:space="preserve"> Licitação Pública Nacional; </t>
    </r>
    <r>
      <rPr>
        <b/>
        <sz val="10"/>
        <color indexed="8"/>
        <rFont val="Calibri"/>
        <family val="0"/>
      </rPr>
      <t>CP:</t>
    </r>
    <r>
      <rPr>
        <sz val="10"/>
        <color indexed="8"/>
        <rFont val="Calibri"/>
        <family val="0"/>
      </rPr>
      <t xml:space="preserve"> Comparação de Preços; </t>
    </r>
    <r>
      <rPr>
        <b/>
        <sz val="10"/>
        <color indexed="8"/>
        <rFont val="Calibri"/>
        <family val="0"/>
      </rPr>
      <t>CD:</t>
    </r>
    <r>
      <rPr>
        <sz val="10"/>
        <color indexed="8"/>
        <rFont val="Calibri"/>
        <family val="0"/>
      </rPr>
      <t xml:space="preserve"> Contratação Direta; </t>
    </r>
    <r>
      <rPr>
        <b/>
        <sz val="10"/>
        <color indexed="8"/>
        <rFont val="Calibri"/>
        <family val="0"/>
      </rPr>
      <t>SBQC:</t>
    </r>
    <r>
      <rPr>
        <sz val="10"/>
        <color indexed="8"/>
        <rFont val="Calibri"/>
        <family val="0"/>
      </rPr>
      <t xml:space="preserve"> Seleção Baseada na Qualidade e Custo; </t>
    </r>
    <r>
      <rPr>
        <b/>
        <sz val="10"/>
        <color indexed="8"/>
        <rFont val="Calibri"/>
        <family val="0"/>
      </rPr>
      <t xml:space="preserve">SQC: </t>
    </r>
    <r>
      <rPr>
        <sz val="10"/>
        <color indexed="8"/>
        <rFont val="Calibri"/>
        <family val="0"/>
      </rPr>
      <t xml:space="preserve">Seleção Baseada nas Qualificações dos Consultores; </t>
    </r>
    <r>
      <rPr>
        <b/>
        <sz val="10"/>
        <color indexed="8"/>
        <rFont val="Calibri"/>
        <family val="0"/>
      </rPr>
      <t xml:space="preserve">SBMC: </t>
    </r>
    <r>
      <rPr>
        <sz val="10"/>
        <color indexed="8"/>
        <rFont val="Calibri"/>
        <family val="0"/>
      </rPr>
      <t xml:space="preserve">Seleção Baseada no Menor Custo; </t>
    </r>
    <r>
      <rPr>
        <b/>
        <sz val="10"/>
        <color indexed="8"/>
        <rFont val="Calibri"/>
        <family val="0"/>
      </rPr>
      <t xml:space="preserve">SBOF: </t>
    </r>
    <r>
      <rPr>
        <sz val="10"/>
        <color indexed="8"/>
        <rFont val="Calibri"/>
        <family val="0"/>
      </rPr>
      <t xml:space="preserve">Seleção Baseada em Orçamento Fixo; </t>
    </r>
    <r>
      <rPr>
        <b/>
        <sz val="10"/>
        <color indexed="8"/>
        <rFont val="Calibri"/>
        <family val="0"/>
      </rPr>
      <t>CD:</t>
    </r>
    <r>
      <rPr>
        <sz val="10"/>
        <color indexed="8"/>
        <rFont val="Calibri"/>
        <family val="0"/>
      </rPr>
      <t xml:space="preserve"> Contratação Direta; </t>
    </r>
    <r>
      <rPr>
        <b/>
        <sz val="10"/>
        <color indexed="8"/>
        <rFont val="Calibri"/>
        <family val="0"/>
      </rPr>
      <t>CI:</t>
    </r>
    <r>
      <rPr>
        <sz val="10"/>
        <color indexed="8"/>
        <rFont val="Calibri"/>
        <family val="0"/>
      </rPr>
      <t xml:space="preserve"> Consultor Individual. (</t>
    </r>
    <r>
      <rPr>
        <b/>
        <sz val="10"/>
        <color indexed="8"/>
        <rFont val="Calibri"/>
        <family val="0"/>
      </rPr>
      <t xml:space="preserve">b) Lei 8.666: CC: </t>
    </r>
    <r>
      <rPr>
        <sz val="10"/>
        <color indexed="8"/>
        <rFont val="Calibri"/>
        <family val="0"/>
      </rPr>
      <t>Carta</t>
    </r>
    <r>
      <rPr>
        <b/>
        <sz val="10"/>
        <color indexed="8"/>
        <rFont val="Calibri"/>
        <family val="0"/>
      </rPr>
      <t xml:space="preserve"> </t>
    </r>
    <r>
      <rPr>
        <sz val="10"/>
        <color indexed="8"/>
        <rFont val="Calibri"/>
        <family val="0"/>
      </rPr>
      <t xml:space="preserve"> Convite; </t>
    </r>
    <r>
      <rPr>
        <b/>
        <sz val="10"/>
        <color indexed="8"/>
        <rFont val="Calibri"/>
        <family val="0"/>
      </rPr>
      <t>TP:</t>
    </r>
    <r>
      <rPr>
        <sz val="10"/>
        <color indexed="8"/>
        <rFont val="Calibri"/>
        <family val="0"/>
      </rPr>
      <t xml:space="preserve"> Tomada de Preço; </t>
    </r>
    <r>
      <rPr>
        <b/>
        <sz val="10"/>
        <color indexed="8"/>
        <rFont val="Calibri"/>
        <family val="0"/>
      </rPr>
      <t>CPN:</t>
    </r>
    <r>
      <rPr>
        <sz val="10"/>
        <color indexed="8"/>
        <rFont val="Calibri"/>
        <family val="0"/>
      </rPr>
      <t xml:space="preserve"> Concorrência Pública Nacional; </t>
    </r>
    <r>
      <rPr>
        <b/>
        <sz val="10"/>
        <color indexed="8"/>
        <rFont val="Calibri"/>
        <family val="0"/>
      </rPr>
      <t>PE:</t>
    </r>
    <r>
      <rPr>
        <sz val="10"/>
        <color indexed="8"/>
        <rFont val="Calibri"/>
        <family val="0"/>
      </rPr>
      <t xml:space="preserve"> Pregão Eletrônico; </t>
    </r>
    <r>
      <rPr>
        <b/>
        <sz val="10"/>
        <color indexed="8"/>
        <rFont val="Calibri"/>
        <family val="0"/>
      </rPr>
      <t>ARP:</t>
    </r>
    <r>
      <rPr>
        <sz val="10"/>
        <color indexed="8"/>
        <rFont val="Calibri"/>
        <family val="0"/>
      </rPr>
      <t xml:space="preserve"> Ata de Registro de Preços,</t>
    </r>
    <r>
      <rPr>
        <b/>
        <sz val="10"/>
        <color indexed="8"/>
        <rFont val="Calibri"/>
        <family val="0"/>
      </rPr>
      <t xml:space="preserve"> PP</t>
    </r>
    <r>
      <rPr>
        <sz val="10"/>
        <color indexed="8"/>
        <rFont val="Calibri"/>
        <family val="0"/>
      </rPr>
      <t xml:space="preserve">: Pregão Presencial, </t>
    </r>
    <r>
      <rPr>
        <b/>
        <sz val="10"/>
        <color indexed="8"/>
        <rFont val="Calibri"/>
        <family val="0"/>
      </rPr>
      <t>CD</t>
    </r>
    <r>
      <rPr>
        <sz val="10"/>
        <color indexed="8"/>
        <rFont val="Calibri"/>
        <family val="0"/>
      </rPr>
      <t>: Contratação Direta</t>
    </r>
  </si>
  <si>
    <r>
      <t>Revisões BID</t>
    </r>
    <r>
      <rPr>
        <sz val="10"/>
        <color indexed="8"/>
        <rFont val="Calibri"/>
        <family val="2"/>
      </rPr>
      <t>: EXA =</t>
    </r>
    <r>
      <rPr>
        <i/>
        <sz val="10"/>
        <color indexed="8"/>
        <rFont val="Calibri"/>
        <family val="2"/>
      </rPr>
      <t xml:space="preserve">Ex-ante </t>
    </r>
    <r>
      <rPr>
        <sz val="10"/>
        <color indexed="8"/>
        <rFont val="Calibri"/>
        <family val="2"/>
      </rPr>
      <t>e EXP=</t>
    </r>
    <r>
      <rPr>
        <i/>
        <sz val="10"/>
        <color indexed="8"/>
        <rFont val="Calibri"/>
        <family val="2"/>
      </rPr>
      <t xml:space="preserve"> Ex-post</t>
    </r>
  </si>
  <si>
    <r>
      <t>Status</t>
    </r>
    <r>
      <rPr>
        <sz val="10"/>
        <color indexed="8"/>
        <rFont val="Calibri"/>
        <family val="2"/>
      </rPr>
      <t>: Pendente (P); Em Processo  (EP); Adjudicado (A); Cancelado (C )</t>
    </r>
  </si>
  <si>
    <r>
      <t>Alterações:</t>
    </r>
    <r>
      <rPr>
        <sz val="10"/>
        <color indexed="8"/>
        <rFont val="Calibri"/>
        <family val="2"/>
      </rPr>
      <t xml:space="preserve"> Indicar em vermelho as alterações feitas nas aquisições já constantes do PA</t>
    </r>
  </si>
  <si>
    <r>
      <t>Inclusões:</t>
    </r>
    <r>
      <rPr>
        <sz val="10"/>
        <color indexed="8"/>
        <rFont val="Calibri"/>
        <family val="2"/>
      </rPr>
      <t xml:space="preserve"> Indicar em azul as aquisições agora incluídas no PA</t>
    </r>
  </si>
  <si>
    <r>
      <t>Cancelamentos:</t>
    </r>
    <r>
      <rPr>
        <sz val="10"/>
        <color indexed="8"/>
        <rFont val="Calibri"/>
        <family val="2"/>
      </rPr>
      <t xml:space="preserve"> indicar em verde os cancelamentos das aquisições constantes do PA</t>
    </r>
  </si>
  <si>
    <r>
      <t>Folha anexa</t>
    </r>
    <r>
      <rPr>
        <sz val="10"/>
        <color indexed="8"/>
        <rFont val="Calibri"/>
        <family val="0"/>
      </rPr>
      <t>: Fazer comentários complementares ou esclarecedores , quando necessário, em folha anexa.</t>
    </r>
  </si>
  <si>
    <r>
      <t>Histórico:</t>
    </r>
    <r>
      <rPr>
        <sz val="10"/>
        <color indexed="8"/>
        <rFont val="Calibri"/>
        <family val="0"/>
      </rPr>
      <t xml:space="preserve"> Manter no PA todas as aquisições adjudicadas e/ou canceladas</t>
    </r>
  </si>
  <si>
    <t>N° 107/2010</t>
  </si>
  <si>
    <t>ADMINISTRAÇÃO TRIBUTÁRIA E CONTENCIOSO FISCAL</t>
  </si>
  <si>
    <t>1.4 Evolução da Execução</t>
  </si>
  <si>
    <t>1.5 Equipe de projeto do Banco</t>
  </si>
  <si>
    <t>1.7 Monitoramento e avaliação</t>
  </si>
  <si>
    <t>1.6 Unidade de coordenação do Projeto</t>
  </si>
  <si>
    <t>5. RISCOS E PLANO DE MITIGAÇÃO (GRP-PMR)</t>
  </si>
  <si>
    <t>TIPOS DE RISCO</t>
  </si>
  <si>
    <t>No Cláusula</t>
  </si>
  <si>
    <t xml:space="preserve">Cumprimento de Cláusulas Contratuais </t>
  </si>
  <si>
    <t>Aprovação de Alterações no Projeto</t>
  </si>
  <si>
    <t>7. APROVAÇÃO DE ALTERAÇÕES DO PROJETO</t>
  </si>
  <si>
    <t>ITEM ALTERADO</t>
  </si>
  <si>
    <t>DESCRIÇÃO DA ALTERAÇÃO</t>
  </si>
  <si>
    <t>DOCUMENTO</t>
  </si>
  <si>
    <t>DATA DA APROVAÇÃO</t>
  </si>
  <si>
    <t>Tipo de Alteração</t>
  </si>
  <si>
    <t>DESEMBOLSO ORIGINAL PROGRAMADO</t>
  </si>
  <si>
    <t>ANOS</t>
  </si>
  <si>
    <t>9. DEMONSTRATIVO DE EXECUÇÃO ORÇAMENTÁRIA</t>
  </si>
  <si>
    <t>10. DEMONSTRATIVO DE DESEMBOLSOS POR FONTE-ANO</t>
  </si>
  <si>
    <t>ANEXOS</t>
  </si>
  <si>
    <t>PAI atualizado</t>
  </si>
  <si>
    <t>Relatórios de Consultoria</t>
  </si>
  <si>
    <t>Relatórios de Obras</t>
  </si>
  <si>
    <t>Análise da Situação Atual e Plano de Ação para Aceleração da Execução</t>
  </si>
  <si>
    <t>Em fase de Publicação da Manifestação de Interesse.</t>
  </si>
  <si>
    <t>PLANO DE ACELERAÇÃO DA EXECUÇÃO</t>
  </si>
  <si>
    <t>4. ANÁLISE DA SITUAÇÃO ATUAL E PLANO DE AÇÃO</t>
  </si>
  <si>
    <t>Período de (mês/ano) a (mês/ano)</t>
  </si>
  <si>
    <t>Valor Aditado</t>
  </si>
  <si>
    <t>Diferença %</t>
  </si>
  <si>
    <t>Categorias de Investimento</t>
  </si>
  <si>
    <t>COMPONENTES</t>
  </si>
  <si>
    <t xml:space="preserve">A - CONSULTORIA </t>
  </si>
  <si>
    <r>
      <t>B - OBRAS CIVIS (</t>
    </r>
    <r>
      <rPr>
        <b/>
        <i/>
        <sz val="12"/>
        <rFont val="Calibri"/>
        <family val="2"/>
      </rPr>
      <t>As Built</t>
    </r>
    <r>
      <rPr>
        <b/>
        <sz val="12"/>
        <rFont val="Calibri"/>
        <family val="2"/>
      </rPr>
      <t xml:space="preserve">) </t>
    </r>
  </si>
  <si>
    <t>II</t>
  </si>
  <si>
    <t>III</t>
  </si>
  <si>
    <t>IV</t>
  </si>
  <si>
    <t xml:space="preserve">1.1 Dados básicos </t>
  </si>
  <si>
    <t>EFETIVIDADE</t>
  </si>
  <si>
    <t>Gestão do Projeto</t>
  </si>
  <si>
    <t xml:space="preserve">Cooperação interinstitucional nacional e internacional </t>
  </si>
  <si>
    <t>Melhoria da eficiência e eficácia da administração tributária</t>
  </si>
  <si>
    <t>Aperfeiçoamento da gestão do cadastro e implantação do sistema público de escrituração digital (ELEGIBILIDADE)</t>
  </si>
  <si>
    <t>Melhoria da eficiência e da eficácia da administração financeira</t>
  </si>
  <si>
    <t>I.</t>
  </si>
  <si>
    <t>Aperfeiçoamento dos mecanismos de transparência da gestão fiscal e comunicação com a sociedade</t>
  </si>
  <si>
    <t>Modernização e aperfeiçoamento dos serviços de tecnologia da informação e comunicação na área fazendária</t>
  </si>
  <si>
    <t>Aperfeiçoamento da gestão de recursos humanos na área fazendária</t>
  </si>
  <si>
    <t>Fortalecimento da gestão do conhecimento na área fazendária</t>
  </si>
  <si>
    <t>GESTÃO DE RECUROS ESTRATÉGICOS/CORPORATIVOS</t>
  </si>
  <si>
    <t>ADMINISTRAÇÃO FINANCEIRA, PATRIMONIAL E CONTROLE INTERNO (GESTÃO FISCAL)</t>
  </si>
  <si>
    <t>GESTÃO ESTRATÉGICA INTEGRADA/INTEGRAÇÃO DA GESTÃO FAZENDÁRIA</t>
  </si>
  <si>
    <t>1.1</t>
  </si>
  <si>
    <t>1.2</t>
  </si>
  <si>
    <t>2.1</t>
  </si>
  <si>
    <t>2.2</t>
  </si>
  <si>
    <t>2.3</t>
  </si>
  <si>
    <t>2.4</t>
  </si>
  <si>
    <t>1.3</t>
  </si>
  <si>
    <t xml:space="preserve"> Programa de Modernização da Gestão Fiscal do Estado do Ceará (PROFISCO/CE)</t>
  </si>
  <si>
    <t>Brasil</t>
  </si>
  <si>
    <t>Programa de Modernização da Gestão Fiscal do Estado do Ceará (PROFISCO/CE)</t>
  </si>
  <si>
    <t>BR-L1174</t>
  </si>
  <si>
    <t>2044/OC-BR</t>
  </si>
  <si>
    <t>Investimento</t>
  </si>
  <si>
    <t>Reforma/Modernização do Estado-Reforma Fiscal</t>
  </si>
  <si>
    <t>"C" (Sustainable Finance Toolkit)</t>
  </si>
  <si>
    <t>Estado do Ceará</t>
  </si>
  <si>
    <t>Secretaria da Fazenda do Estado do Ceará (SEFAZ/CE)</t>
  </si>
  <si>
    <t>CO</t>
  </si>
  <si>
    <t>10% - 90%</t>
  </si>
  <si>
    <t>Dólar inicial</t>
  </si>
  <si>
    <t>Dólar do 3° Relatório de Desembolso</t>
  </si>
  <si>
    <t>Dólar do 4° Relatório de Desembolso</t>
  </si>
  <si>
    <t>Marcio Cracel (ICF/FMM), Chefe de Equipe; Fátima Cartaxo (FMM/CBR), Luiz Villela (ICF/FMM), Gerardo Reyes-Tagle (ICF/FMM), Patrícia Bakaj (FMM/CBR), Ana Lúcia Paiva Dezolt (FMM/CBR); Bernadete Buchsbaum (LEG/SGO), Orlando Reos (VPS/VPS) membros da equipe; Cecília Bernedo (ICF/FMM), assistente de projeto; Luciana Pimentel e Eugenio Lira, consultores.</t>
  </si>
  <si>
    <t>Portaria no.702/2008 DOE  no.194 de 10/10/2008 pp 40</t>
  </si>
  <si>
    <t>Sandra  Machado (Coordenadora Geral); Sonia Sisnando (Coordenadora Técnica); Luiza Ondina (Coordenador Administrativo Financeiro); Aguilberto Junior (Monitoramento e Avaliação).</t>
  </si>
  <si>
    <t>Ano I - 2008</t>
  </si>
  <si>
    <t>Ano II - 2009</t>
  </si>
  <si>
    <t>Ano III - 2010</t>
  </si>
  <si>
    <t>Ano IV - 2011</t>
  </si>
  <si>
    <t xml:space="preserve">% </t>
  </si>
  <si>
    <t>R$ Milhões</t>
  </si>
  <si>
    <t xml:space="preserve">R$ Milhões </t>
  </si>
  <si>
    <t>Estabilidade Macroeconômica e Continuidade Administrativa</t>
  </si>
  <si>
    <t>LP - Matriz de Risco do Projeto</t>
  </si>
  <si>
    <t>Relatório da STN: valores reais de 2008 e 2009 e valores acordados para 2010 e 2011 ajustados de acordo com o último Relatório da STN</t>
  </si>
  <si>
    <t xml:space="preserve">Metas fiscais acordadas com o Governo Federal, no âmbito do Programa de Ajuste Fiscal dos Estados (PAF). 
As metas são avaliadas anualmente pela STN e podem ser ajustadas em acordo com o Estado
</t>
  </si>
  <si>
    <t>Ano I - 2009</t>
  </si>
  <si>
    <t>Ano II - 2010</t>
  </si>
  <si>
    <t>Ano III - 2011</t>
  </si>
  <si>
    <t>Fim do Projeto - 2012</t>
  </si>
  <si>
    <t>Número de novas tecnologias incorporadas em decorrência de convênios de cooperação ou de visitas técnicas realizadas</t>
  </si>
  <si>
    <t>Um</t>
  </si>
  <si>
    <t>Políticas já definidas e aprovadas pelo Comitê Executivo da SEFAZ. Encontra-se em elaboração o TDR para construções dos produtos e realização dos seminários de divulgação.</t>
  </si>
  <si>
    <t>Aguardando a conclusão da infra-estrutura física, previsto para adquirir em 2012 no 2° Semestre</t>
  </si>
  <si>
    <t>Aguardando a conclusão da infra-estrutura física, previsto para adquirir em 2012 no 2° semestre</t>
  </si>
  <si>
    <t>Em elaboração Relatório Técnico. Duas empresas enviaram propostas: BDO Trevisan Auditores Independentes e Loudon Blomquit.</t>
  </si>
  <si>
    <t>Cursos de Políticas de Aquisição foi oferecido pelo BID, sem custos. Cursos de monitoramento, Avaliação e Indicadores priorizaremos em 2011.</t>
  </si>
  <si>
    <t>Processo cancelado, capacitação será contemplada na contratação da Fundação Dom Cabral</t>
  </si>
  <si>
    <t>Contratação de treinamento para 116 servidores pelo CETREDE , no valor de R$ 74.300,00, já pago R$ 17.690,48, dólar 1,7044.</t>
  </si>
  <si>
    <t>Produtos excluídos, foi priorizado capacitação com a Fundação Dom Cabral</t>
  </si>
  <si>
    <t>Convênio SEFAZ/ESAF. Foram realizados 1 (uma) turma de Comércio Exterior, N° Participantes 31. Valor de R$ 13.727,50. Valor do dólar de US$ 1,7655.</t>
  </si>
  <si>
    <t>Convênio SEFAZ/ESAF. Foram realizadas 2 (duas) turmas de Execução Orçamentária e Financeira, N° Participantes 40. Valor de R$ 10.702,41. Valor do dólar de US$ 1,7655.</t>
  </si>
  <si>
    <t>ICMS proveniente do segmento de mercado varejista</t>
  </si>
  <si>
    <t>Milhões</t>
  </si>
  <si>
    <t>Arrecadação Anual do ICMS</t>
  </si>
  <si>
    <t>Tempo médio de espera dos veículos de carga nos Postos Fiscais</t>
  </si>
  <si>
    <t>Horas</t>
  </si>
  <si>
    <t>Número de registros de inscrição estadual realizados em até 72 horas / Número total de registros de inscrição solicitados</t>
  </si>
  <si>
    <t>Valor dos  créditos oriundos da privatização do BEC recuperados / Valor total de créditos oriundos da privatização do BEC</t>
  </si>
  <si>
    <t>0% 
(R$350 milhões)</t>
  </si>
  <si>
    <t>Índice de satisfação com o atendimento presencial da SEFAZ</t>
  </si>
  <si>
    <t>Número de documentos recebidos via Web com validade jurídica assegurada / Número total de documentos recebidos via Web</t>
  </si>
  <si>
    <t>Número de remanejamentos de pessoal baseados nas competências organizacionais / Número total de remanejamentos de pessoal realizados na SEFAZ</t>
  </si>
  <si>
    <t>Número de servidores do interior capacitados / Número total de servidores capacitados</t>
  </si>
  <si>
    <t>Relatório de Gestão da SEFAZ</t>
  </si>
  <si>
    <t>Anual</t>
  </si>
  <si>
    <t>Relatório de Arrecadação de Tributos Estaduais</t>
  </si>
  <si>
    <t>Mensal</t>
  </si>
  <si>
    <t>Balanço do Estado</t>
  </si>
  <si>
    <t>Relatório de Atendimento do Trânsito de Mercadorias</t>
  </si>
  <si>
    <t>Relatório do Sistema CADASTRO da SEFAZ</t>
  </si>
  <si>
    <t>Em tempo real</t>
  </si>
  <si>
    <t>Sistema de ingresso de ativos</t>
  </si>
  <si>
    <t>Pesquisa de satisfação realizada nas unidades de atendimento presencial</t>
  </si>
  <si>
    <t>No início e no final do projeto</t>
  </si>
  <si>
    <t>Relatório do fluxo de entrada do SEFAZ.net</t>
  </si>
  <si>
    <t>Relatório de Remanejamento de Pessoal</t>
  </si>
  <si>
    <r>
      <t xml:space="preserve">OBJETIVO GERAL DO PROJETO: </t>
    </r>
    <r>
      <rPr>
        <sz val="11"/>
        <rFont val="Calibri"/>
        <family val="2"/>
      </rPr>
      <t>Melhorar a eficiência e a transparência da gestão fiscal visando a: (i) aumentar a receita própria do Estado; (ii) aumentar a eficiência e a eficácia e melhorar o controle do gasto público; e (iii) prover melhores serviços ao cidadão.</t>
    </r>
  </si>
  <si>
    <t>PRODUTOS</t>
  </si>
  <si>
    <t>X</t>
  </si>
  <si>
    <t>Número de visitas técnicas realizadas</t>
  </si>
  <si>
    <t>Número de seminários realizados</t>
  </si>
  <si>
    <t>Número de postos fiscais de grande porte com leitura de imagens de carga de veículos</t>
  </si>
  <si>
    <t>Número de postos fiscais de de Médio e Pequeno Porte, dos Especiais e da Região Metropolitana com novo modelo de gestão e/ou leitura de imagens de carga de veículos</t>
  </si>
  <si>
    <t>Número de empresas com chips instalados nos equipamentos de ECF / Total de empresas que possuem equipamentos ECF</t>
  </si>
  <si>
    <t>Número de novas unidades de apoio a fiscalização instaladas</t>
  </si>
  <si>
    <t>Número de empresas cadastradas na SEFAZ</t>
  </si>
  <si>
    <t>Número de Notas Fiscais Eletrônicas (NF-e) emitidas / Número total de notas fiscais emitidas</t>
  </si>
  <si>
    <t>Valor do imposto recuperado / valor do imposto lançado (por notificação)</t>
  </si>
  <si>
    <t>Número de empresas com escrita fiscal utilizando o SPED Contábil / Número total de empresas</t>
  </si>
  <si>
    <t>Disponibilidade de cálculo on-line da capacidade de endividamento do Estado</t>
  </si>
  <si>
    <t>Disponibilidade de cálculo on-line da capacidade de pagamento do Estado</t>
  </si>
  <si>
    <t>Número de contratos de crédito oriundos da federalização do BEC com informações disponibilizadas on-line / Número total de contratos de crédito oriundos da federalização do BEC</t>
  </si>
  <si>
    <t>Disponibilidade de informações sobre precatórios on-line</t>
  </si>
  <si>
    <t xml:space="preserve">Número de tipos de transações oferecidas em ambiente Web </t>
  </si>
  <si>
    <t>Disponibilidade do ambiente informático = Número de horas paradas / Número total de horas no ano</t>
  </si>
  <si>
    <t>Tempo médio (em horas) para início de atendimento</t>
  </si>
  <si>
    <t>Número de processos ativos digitalizados e disponibilizados / Número total de processos ativos</t>
  </si>
  <si>
    <t>Número de aplicativos corporativos da SEFAZ em plataforma baixa acessados com certificados digitais / Número total de aplicativos corporativos da SEFAZ em plataforma baixa</t>
  </si>
  <si>
    <t>Número de servidores que participaram de eventos de divulgação da política de RH da SEFAZ  / Número total de servidores da SEFAZ</t>
  </si>
  <si>
    <t>Número de consultas possíveis on-line para os servidores no SIS-RH da SEFAZ</t>
  </si>
  <si>
    <t>Número de gerentes avaliados anualmente / Número total de gerentes</t>
  </si>
  <si>
    <t>Banco de sucessores para os cargos gerenciais implantado</t>
  </si>
  <si>
    <t>Número de horas de EAD disponibilizadas para os servidores anualmente</t>
  </si>
  <si>
    <t>Número de oportunidades de capacitação oferecidas ao ano</t>
  </si>
  <si>
    <t>Dólar do 1° Relatório de Desembolso</t>
  </si>
  <si>
    <t>Ano IV - 2012</t>
  </si>
  <si>
    <t>Ano V - 2013</t>
  </si>
  <si>
    <t>$(000)</t>
  </si>
  <si>
    <t>GESTÃO ESTRATÉGICA INTEGRADA</t>
  </si>
  <si>
    <t>Programa de Cooperação Interinstitucional Nacional e Internacional implantado</t>
  </si>
  <si>
    <t>Modelo de Gestão dos Postos Fiscais de Grande Porte com leitura de imagens de carga de veículos implantado</t>
  </si>
  <si>
    <t>Modelo de Gestão dos  Postos Fiscais de Médio e Pequeno Porte, dos Especiais e da Região Metropolitana com novo modelo de gestão e/ou leitura de imagens de carga de veículos implantado</t>
  </si>
  <si>
    <t>Sistemática de monitoramento das operações de emissão de cupons fiscais implantada</t>
  </si>
  <si>
    <t xml:space="preserve">Contrato 031/2008 concluído, valor R$ 44.900,00. </t>
  </si>
  <si>
    <t>Gestão, Monitoramento e Avaliação do Projeto</t>
  </si>
  <si>
    <t>Pedro Junior</t>
  </si>
  <si>
    <t>Modelo de Gestão dos Postos Fiscais de Médio e Pequeno Porte com leitura de imagens de veículos de carga implantado</t>
  </si>
  <si>
    <t>Modelo de Gestão dos postos fiscais da Região Metropolitana de Fortaleza, Intra-Divisas e Desvios implantado</t>
  </si>
  <si>
    <t>Modelo de Gestão dos postos fiscais especiais (portos, aeroporto e centro de triagem dos correios) implantado</t>
  </si>
  <si>
    <t>Central de gerenciamento eletrônico de documentos e imagens implantada</t>
  </si>
  <si>
    <t>DT EXECUTADA</t>
  </si>
  <si>
    <t>Escopo do projeto extrapolou a previsão de recurso inicial previsto com recursos BID, despesa será contemplada com recursos do Tesouro.</t>
  </si>
  <si>
    <t>Centro Integrado de Operações Fiscais - CIOF implantado</t>
  </si>
  <si>
    <t>Centro de Comando e Controle de ações de fiscalização implantado</t>
  </si>
  <si>
    <t>Centro de Inteligência Fiscal implantado</t>
  </si>
  <si>
    <t xml:space="preserve">Programa de Cooperação Interinstitucional Nacional e Internacional implantado </t>
  </si>
  <si>
    <t>Aguardando a implantação do cadastro sicronizado para iniciar a capacitação, previsto para junho/2011.</t>
  </si>
  <si>
    <t>Cadastro estadual e cadastros da Receita Federal e da Junta Comercial do Estado do Ceará sincronizados</t>
  </si>
  <si>
    <t>Nota fiscal eletrônica e escrituração fiscal digital implantados</t>
  </si>
  <si>
    <t>Sistema Público de Escrituração digital – SPED Fiscal implantado</t>
  </si>
  <si>
    <t>Sistema Público de Escrituração digital – SPED Contábil implantado</t>
  </si>
  <si>
    <t>A capacitação será realizada após a implantação do cadastro, que depende da Receita Federal. Capacitação adiada para IV Trim 2010.</t>
  </si>
  <si>
    <t>Valor previsto a ser pago a Empresa IVIA Serviço de Informática Ltda R$ 49.900,00. Em fase de execução do contrato</t>
  </si>
  <si>
    <t>Modelo de gestão do ingresso de ativos implantado.</t>
  </si>
  <si>
    <t xml:space="preserve">Novo modelo de gestão de precatórios implantado. </t>
  </si>
  <si>
    <t>Serviço de Atendimento de Excelência ao Cidadão nas unidades fazendárias implantado</t>
  </si>
  <si>
    <t xml:space="preserve">Parque Tecnológico adequado aos processos fazendários
</t>
  </si>
  <si>
    <t xml:space="preserve">Modelo de negócio da área de TI da SEFAZ reestruturado. </t>
  </si>
  <si>
    <t>Sistemática de acesso as informações gerenciais (DW) implantada</t>
  </si>
  <si>
    <t>Sistema de Gerenciamento Eletrônico de Documentos – GED CONTA/RH implantado</t>
  </si>
  <si>
    <t>Sistemática de Certificação Digital reconhecida pela Infra-estrutura de Chaves Públicas (ICP) Brasil implantada</t>
  </si>
  <si>
    <t>Política de RH estabelecida e divulgada</t>
  </si>
  <si>
    <t>Modelo de gestão de RH da SEFAZ automatizado</t>
  </si>
  <si>
    <t>Modelo de avaliação gerencial desenvolvido e implantado</t>
  </si>
  <si>
    <t>Programa de sucessão gerencial implantado</t>
  </si>
  <si>
    <t>Programa de educação à distância implantado</t>
  </si>
  <si>
    <t>Programa de educação continuada implantado</t>
  </si>
  <si>
    <t>Descontinuidade da equipe de projeto</t>
  </si>
  <si>
    <t xml:space="preserve">Desvinculação do projeto em relação ao Plano Estratégico da SEFAZ e/ou descontinuidade da gestão por resultados </t>
  </si>
  <si>
    <t>Descontinuidade dos programas nacionais integradores no âmbito estadual (SPED)</t>
  </si>
  <si>
    <t xml:space="preserve">A análise de risco indicou percepção de risco de atraso na execução do projeto ou problemas para se ajustar aos seus requisitos (elaboração de TdRs, estimativas orçamentárias, tramitação dos processos de contratações e aquisições)
</t>
  </si>
  <si>
    <t xml:space="preserve">A análise de risco indicou percepção de risco moderado-baixo na área de Efetividade e Desenvolvimento, relacionado com o alcance das metas e obtenção dos resultados sustentáveis.
</t>
  </si>
  <si>
    <t>Sustentabilidade</t>
  </si>
  <si>
    <t>Governabilidade</t>
  </si>
  <si>
    <t>Fiduciários</t>
  </si>
  <si>
    <t>3.02</t>
  </si>
  <si>
    <t>11/5/2009
02/7/2009</t>
  </si>
  <si>
    <t xml:space="preserve">N° 132/09
N° 340/09 </t>
  </si>
  <si>
    <t>CBR - 3264/2009</t>
  </si>
  <si>
    <t>3.04</t>
  </si>
  <si>
    <t>4.05</t>
  </si>
  <si>
    <t>Relatório Semestral de Progresso para a secretaria Executiva do MF</t>
  </si>
  <si>
    <t>N° 029/2010</t>
  </si>
  <si>
    <t>4.01</t>
  </si>
  <si>
    <t>N° 133/09</t>
  </si>
  <si>
    <t>N° 134/09</t>
  </si>
  <si>
    <t>CSC/CBR 2142/2009</t>
  </si>
  <si>
    <t>N° 20/09</t>
  </si>
  <si>
    <t>Nº 135/09</t>
  </si>
  <si>
    <t>CSC/CBR 2038/2009</t>
  </si>
  <si>
    <t>Nº 136/09</t>
  </si>
  <si>
    <t>Nº 137/09</t>
  </si>
  <si>
    <t>4.01 (d) (i)</t>
  </si>
  <si>
    <t>N° 20/2009</t>
  </si>
  <si>
    <t>CSC/CBR 2877/2009</t>
  </si>
  <si>
    <t>No 09, 14 e 15/2010</t>
  </si>
  <si>
    <t>CBR 707/2010</t>
  </si>
  <si>
    <t>6.04 (b)</t>
  </si>
  <si>
    <t>No 08/2010</t>
  </si>
  <si>
    <t>CBR 697/2010</t>
  </si>
  <si>
    <t>7.03 (i)</t>
  </si>
  <si>
    <t>Nº 24/09</t>
  </si>
  <si>
    <t>CBR - 3241/2009</t>
  </si>
  <si>
    <t>No 10/2010</t>
  </si>
  <si>
    <t>CBR - 708/2010</t>
  </si>
  <si>
    <t>7.03 (iii)</t>
  </si>
  <si>
    <t>Dólar do 2° Relatório de Desembolso</t>
  </si>
  <si>
    <t>5.1</t>
  </si>
  <si>
    <t>7.2</t>
  </si>
  <si>
    <t>8.1</t>
  </si>
  <si>
    <t>3.3</t>
  </si>
  <si>
    <t>3.2</t>
  </si>
  <si>
    <t>3.1</t>
  </si>
  <si>
    <t>Novo modelo de gestão da dívida pública implantada</t>
  </si>
  <si>
    <t>Modelo de gestão do ingresso de ativos implantado</t>
  </si>
  <si>
    <t>Novo modelo de gestão de precatórios implantado</t>
  </si>
  <si>
    <t>Parque Tecnológico adequado aos processos fazendários</t>
  </si>
  <si>
    <t>Modelo de negócio da área de TI da SEFAZ reestruturado</t>
  </si>
  <si>
    <t>Perfis profissionais com base nas competências organizacionais identificados</t>
  </si>
  <si>
    <t>ADMINISTRAÇÃO FINANCEIRA, PATRIMÔNIO E CONTROLE INTERNO</t>
  </si>
  <si>
    <t>GESTÃO DE RECURSOS ESTRATÉGICOS</t>
  </si>
  <si>
    <t>Manuais e fluxogramas operacionais</t>
  </si>
  <si>
    <t>Mecanismos Execução</t>
  </si>
  <si>
    <t>O Banco manifesta sua não objeção quanto à dispensa da citada apresentação.</t>
  </si>
  <si>
    <t>SBQC</t>
  </si>
  <si>
    <t xml:space="preserve">Data de elegibilidade para o 1º desembolso </t>
  </si>
  <si>
    <t>Capacitação de 1060 servidores em cadastro sincronizado e eventos divulgação p/ público externo</t>
  </si>
  <si>
    <t>P3.1</t>
  </si>
  <si>
    <t>P3.2</t>
  </si>
  <si>
    <t>P3.3</t>
  </si>
  <si>
    <t>P3.4</t>
  </si>
  <si>
    <t>Desenvolver, implantar e capacitar 15 servidores no sistema Ingresso de Ativo</t>
  </si>
  <si>
    <t>P4.3</t>
  </si>
  <si>
    <t>Desenvolver, implantar e capacitar 25 servidores no Sistema de Precatório</t>
  </si>
  <si>
    <t>P4.2</t>
  </si>
  <si>
    <t>Desenvolver soluções de melhoria, tecnológicas e de capacitação para as áreas de atendimento virtual, presencial e call center</t>
  </si>
  <si>
    <t>P5.1</t>
  </si>
  <si>
    <t>P6.1</t>
  </si>
  <si>
    <t>Adequar os processos de TI e Capacitar 250 servidores no novo modelo de TI</t>
  </si>
  <si>
    <t>P6.2</t>
  </si>
  <si>
    <t>Mapear as competências dos gerentes e servidores</t>
  </si>
  <si>
    <t>P7.4</t>
  </si>
  <si>
    <t>Formar elaboradores de conteúdo em Educação à Distância - EAD e Implantar curso piloto utilizando novo ambiente da escola virtual da SEFAZ</t>
  </si>
  <si>
    <t>P8.1</t>
  </si>
  <si>
    <t>SBOF</t>
  </si>
  <si>
    <t xml:space="preserve">Definir modelo de Monitoramento e Avaliação </t>
  </si>
  <si>
    <t>A2</t>
  </si>
  <si>
    <t>Auditorias Externas Independentes</t>
  </si>
  <si>
    <t>A1</t>
  </si>
  <si>
    <t>P8.2</t>
  </si>
  <si>
    <t>CP</t>
  </si>
  <si>
    <t>LPN</t>
  </si>
  <si>
    <t>Seminário: 933 vagas para seminários na área de gestão de pessoas</t>
  </si>
  <si>
    <t>Seminário: 400 vagas para seminários de repasse tecnológico</t>
  </si>
  <si>
    <t xml:space="preserve">Seminário: 800 vagas para seminário de atualização </t>
  </si>
  <si>
    <t>P6.3</t>
  </si>
  <si>
    <t xml:space="preserve">Capacitação de 200 servidores na ferramentas de certificação digital </t>
  </si>
  <si>
    <t>P6.5</t>
  </si>
  <si>
    <t>CP ou Pregão Eletrônico</t>
  </si>
  <si>
    <t>A falta de manuais operacionais e fluxograma para apoiar o executor na correta aplicação das normas do contrato de empréstimo, causam demoras relacionadas com a  apresentação de documentos nos padrões requeridos pela Banco, nos desembolsos e nas contratações/aquisições</t>
  </si>
  <si>
    <t>Valor Contratado US$</t>
  </si>
  <si>
    <t>Contrato n° 103/2009 com a Empresa Luma Com Ind de Alimentos concluído:
1) Realizado 03 (três) Seminários em Nfe, totalizando R$ 22.967;
2) Realizado 06 (seis) Seminários em SPED/NFE, totalizando R$ 44.929;
3) Em processo licitatório a contratação de 7.200h de serviço de desenvolvimento de sistema</t>
  </si>
  <si>
    <t>Contrato 028/2010 coma Empresa IVIA Serviços de Informática Ltda concluído, cujo objeto é serviço de consultoria para levantamento de requisitos, análise e prototipação do sistema de gestão dos créditos do extinto BEC. Valor do contrato 028/2010: R$ 49.900,00. Falta contratar consultoria para a fase do desenvolvimento do sistema.</t>
  </si>
  <si>
    <t>Em fase de elaboração da SDP</t>
  </si>
  <si>
    <t xml:space="preserve">Valor pago à Empresa Allen Informática, R$ 704.211,93. Valor do dólar US$ 1,7655 </t>
  </si>
  <si>
    <t>Em fase de execução do contrato N° 009/2010, valor já pago R$ 704.211,93, valor do dólar 1,7655; R$ 80.491,00, valor do dólar 1,6727 e R$ 80.400,48, este último constará no 5° Relatório de Desembolso. Total de valor já pago: R$ 869.103,41</t>
  </si>
  <si>
    <t>04 Servidores de grande porte</t>
  </si>
  <si>
    <t>P3.1; P3.3</t>
  </si>
  <si>
    <t>LPN ou pregão eletrônico</t>
  </si>
  <si>
    <t>03 Equipamentos de criptografia HSM</t>
  </si>
  <si>
    <t xml:space="preserve">18 Servidores Blade </t>
  </si>
  <si>
    <t>Ferramenta de inspeção de conteúdo de acesso a internet (Appliance)</t>
  </si>
  <si>
    <t>P8.1; 8.2</t>
  </si>
  <si>
    <t>Móveis para sala de treinamento (cadeiras e mesas)</t>
  </si>
  <si>
    <t>Implantar infra-estrutura no RH</t>
  </si>
  <si>
    <t>Adquirido solução de plataforma tecnológica para controle de conteúdo web (inspeção de conteúdo), no valor de R$ 263.033,00, constará no 3° Relatório de Desembolso.</t>
  </si>
  <si>
    <t>Em fase licitatória, previsão R$ 133.000,00</t>
  </si>
  <si>
    <t>Adquirido equipamento e de ativos de redes (swites)  no valor de R$ 856.409,90, contrapartida TESOURO, valor do dólar US$ 1,7655.</t>
  </si>
  <si>
    <t>Fim do Projeto
 2012</t>
  </si>
  <si>
    <t>N° 17/2011</t>
  </si>
  <si>
    <t>N°14/2011</t>
  </si>
  <si>
    <t>N° 16/2011</t>
  </si>
  <si>
    <t>N° 15/2011</t>
  </si>
  <si>
    <t>Em fase de execução do contrato, valor já pago R$ 26.158,96, valor do dólar 1,7655 e R$ 91.556,36, valor do dólar 1,7044. Em fase de elaboração do modelo de atendimento.</t>
  </si>
  <si>
    <t>Processo no DER aguardando prioridades</t>
  </si>
  <si>
    <t>Adesão ao Registro de Preço da SEFAZ/PA</t>
  </si>
  <si>
    <t xml:space="preserve">Adquirido solução de plataforma tecnológica para controle de conteúdo web (inspeção de conteúdo), no valor de R$ 263.033,00.
Aditivado o contrato 051/2010 com a empresa ENERGY, no valor de R$ 23.572,00 (BID)
</t>
  </si>
  <si>
    <t>Adesão RP 24/2009, Pregão Presencial 77/2009 Secretaria Municipal de Administração RJ, Valor R$ 930.251,28, adquirido Ssistema de armazenamento em rede san 4 (storage)</t>
  </si>
  <si>
    <t>Convênio SEFAZ/ESAF. Foram realizados 4 (quatro) turmas de Excelência Profissional, N° Participantes 96. Valor de R$ 11.603,27. Valor do dólar de US$ 1,7655.</t>
  </si>
  <si>
    <t xml:space="preserve">Convênio SEFAZ/ESAF. Foi realizado 1 (um) seminário de Certificação Digital, N° Participantes 121. Valor de R$ 5.651,54. Valor do dólar de US$ 1,7655.  </t>
  </si>
  <si>
    <t>Capacitado até dezembro/2010, 19 Gerentes pelo Instituto Amana Key, valor já pago R$ 171.000,00</t>
  </si>
  <si>
    <t>Contratação de treinamento para 116 servidores, no valor de R$ 74.300,00, constará no 4º Relatório de Desembolso.</t>
  </si>
  <si>
    <t>Aguardando proposta das 03  (três) empresas que responderam a Manifestação de Interesse: Ernst &amp; Young Ass. Empresarial Ltda, PD Case Informática Ltda e Data Systems - IT Solutions, previsto para 3/3/11</t>
  </si>
  <si>
    <t>Adquirido  no período de set/2008 a ago/2009, valor de R$ 612.180,80.
Valor dolar US$ 1,7088 (contrapartida)</t>
  </si>
  <si>
    <t>Executado em dezembro/2008, no valor de R$ 44.900,00. Valor dólar US$1,7088 (Contrapartida)</t>
  </si>
  <si>
    <t>Executado em abril/2009, no valor de R$ 12.570,30. Valor dolar US$1,7088 (Contrapartida)</t>
  </si>
  <si>
    <t>Adquirido Equipamento HSM (criptografia), no valor de R$ 440.000,00, contrapartida BNDES, constará no 3º Relatório Desembolso, contrapartida BNDES.</t>
  </si>
  <si>
    <t>Realizado 03 (três) Seminários em Nfe, totalizando R$ 22.967, como contrapartida do BNDES. A licitação para contratação desenvolvimento do Sistema encontra-se na fase de recursos, Contrapartida BNDES</t>
  </si>
  <si>
    <t>Realizado 06 (seis) Seminários em SPED/NFE, totalizando R$ 44.929, como contrapartida do BNDES. A licitação para contratação desenvolvimento do Sistema encontra-se na fase de recursos, contrapartida BNDES</t>
  </si>
  <si>
    <t>Valor previsto a ser pago a empresa Softium Informática Ltda R$ 261.589,60. Em fase de execução do contrato, valor já pago R$ 26.158,96. Valor do dólar 1,7655.</t>
  </si>
  <si>
    <t>8.2</t>
  </si>
  <si>
    <t>A UCP/Ce estava aguardando posicionamento do BID sobre a padronização de um Sistema de Monitoramento e Avaliação para todos os Estados integrantes do PROFISCO</t>
  </si>
  <si>
    <t>As políticas foram elaboradas e aprovadas, entretanto a Administração da SEFAZ está revisando e alterando alguns produtos dessas políticas, só então poderão ser divulgadas.</t>
  </si>
  <si>
    <t>Foi adquirido 750 Certificados Digitais e pago em dez/09, no valor de R$ 136.326,00, valor do dólar US$ 1,7088. O passo seguinte é a capacitação de servidores</t>
  </si>
  <si>
    <t>Novas unidades de apoio a fiscalização instaladas: (a) Central de gerenciamento eletrônico de documentos e imagens; (b) Centro Integrado de Operações Fiscais; (c) Centro de Comando e Controle de ações de fiscalização; (d) Centro de Inteligência Fiscal.</t>
  </si>
  <si>
    <t>Capacitação: 31 vagas para curso em Legislação (Comércio Exterior)</t>
  </si>
  <si>
    <t>Capacitação: 40 vagas para curso em Procedimentos/processos (execução orçamentária e financeira)</t>
  </si>
  <si>
    <t>Capacitação: 96 vagas para cursos na área comportamental (Excelência profissional: Competências e Habilidades necessárias para o sucesso)</t>
  </si>
  <si>
    <t>Capacitação: 121 vagas para cursos na área de TI (técnicas e Sistemas - Seminários de Certificação Digital)</t>
  </si>
  <si>
    <t>Capacitação: 116 vagas para cursos em Técnicas Gerenciais</t>
  </si>
  <si>
    <t>P 3.1</t>
  </si>
  <si>
    <t>131 Switches 1, 2 e 3</t>
  </si>
  <si>
    <t>Adesão RP 24/2009, Pregão Presencial 77/2009 Secretaria Municipal de Administração RJ, Valor R$ 930.251,28, adquirido Sistema de armazenamento em rede san 4 (storage)</t>
  </si>
  <si>
    <t>01 Storage</t>
  </si>
  <si>
    <t xml:space="preserve">Equipamentos de TI (840 estabilizadores, 729 monitores, 629 microcomputadores, 61 projetores, 110 impressoras, reestruturação de backup (fitoteca, licencimento e offdata) </t>
  </si>
  <si>
    <t xml:space="preserve">1) Adquirido no Registro de Preço N° 001/2008, no período de  set/2008 a  dez/2009; valor de R$ 1.925.780,00, valor dolar US$1,7088 (Contrapartida)
2) Adquirido no Registro de Preço N° 001/2008 (restruturação de backup: Adquirido somente fita LTDO pela empresa lanlink); valor já pago (total empenhando R$ 31.610,07) de R$ 12.644,02, valor dolar US$1,7088 (Contrapartida)
3) Adquirido Drive LTO, no valor de R$ 22.934,00. Valor do dólar US$ 1,7655
</t>
  </si>
  <si>
    <t xml:space="preserve">Adquirindo pelo RP do Bacen  referente a reestruturação de backup (firewall), pago R$ 441.079,86. Valor do dólar 1,6727.
</t>
  </si>
  <si>
    <t>1) Adquirido no Registro de Preço N° 001/2008, no período de  set/2008 a  dez/2009; valor de R$ 1.925.780,00, valor dólar US$1,7088 (Contrapartida)
2) Adquirido no Registro de Preço N° 001/2008 (restruturação de backup: Adquirido somente fita LTDO pela empresa lanlink); valor já pago (total empenhando R$ 31.610,07) de R$ 12.644,02, valor dolar US$1,7088 (Contrapartida)
3) Adquirido Drive LTO, no valor de R$ 22.934,00. Valor do dólar US$ 1,7655
4) Adquirindo pelo RP do Bacen  referente a reestruturação de backup (firewall), pago R$ 441.079,86, constará no 3° Relatório de Desembolso.</t>
  </si>
  <si>
    <t>Servidor Risk</t>
  </si>
  <si>
    <t>Adquirido em setembro/2009, no valor de R$ 2.500.000,00.
Valor dolar US$1,7088</t>
  </si>
  <si>
    <t>Adquirido em setembro/2009, no valor de R$ 2.500.000,00. Valor dólar US$1,7088</t>
  </si>
  <si>
    <t>40 Solucções da ferramenta OLAP</t>
  </si>
  <si>
    <t>500 Tokens para implantar Certificação Digital</t>
  </si>
  <si>
    <t>O Governo Federal  firmou o Convênio nº 08/2007 de Cooperação Técnico-financeira visando à viabilização de infra-estrutura tecnológica para implantação do Projeto Nacional da Nota Fiscal Eletrônica (NF-e) e Sistema de Escrituração Digital, através de cessão de uso dos equipamentos necessários para essa fase incial, dentre eles, 06 (seis) servidores Blades. 
Por esse motivo, a aquisição de novos servidores blades  e de grande porte foi adiada até o segundo semestre de 2010 até que os estudos sobre a infraestrutura necessária para atender a crescente demanda gerada  estejam concluídos.</t>
  </si>
  <si>
    <t>Adquirido em julho/2009, no valor de R$ 304.155,80
 Valor dolar US$1,7088</t>
  </si>
  <si>
    <t>Adquirido em dezembro/2009, no valor de R$ 136.326,00,
 Valor dolar US$1,7088</t>
  </si>
  <si>
    <t>Monitoramento e Avaliação</t>
  </si>
  <si>
    <t>I</t>
  </si>
  <si>
    <t>V</t>
  </si>
  <si>
    <t xml:space="preserve">A análise de risco indicou percepção de risco moderado-baixo na área de Desempenho Fiduciário e Operacional, associado ao fato de que as compras são realizadas de forma centralizada pela Procuradoria Geral do Estado (PGE), com possibilidades de atraso na sua execução.
Um ato legal do Estado criou uma comissão especial de licitação para programas com financiamento internacional </t>
  </si>
  <si>
    <t>IMPACTO</t>
  </si>
  <si>
    <t>8. LIÇÕES APRENDIDAS E BOAS PRÁTICAS</t>
  </si>
  <si>
    <t>Lições Aprendidas e Boas Práticas</t>
  </si>
  <si>
    <t>CONDICIONALIDADES
(PRODUTOS)</t>
  </si>
  <si>
    <t>NÍVEL</t>
  </si>
  <si>
    <t>3.02 (b)</t>
  </si>
  <si>
    <t>Condições Prévias Especiais ao 1º Desembolso</t>
  </si>
  <si>
    <t>Ato de adesão ao ROP-PROFISCO</t>
  </si>
  <si>
    <t>4.01 (a)</t>
  </si>
  <si>
    <t>4.01 (b)</t>
  </si>
  <si>
    <t xml:space="preserve">4.01 (c) </t>
  </si>
  <si>
    <t>4.01 (d)</t>
  </si>
  <si>
    <t>4.01 (e)</t>
  </si>
  <si>
    <t>4.01 (f)</t>
  </si>
  <si>
    <t>4.01 (g)</t>
  </si>
  <si>
    <t xml:space="preserve">Relatório inicial (PAI) - POA - PA </t>
  </si>
  <si>
    <t>3a. PROGRESSO NA IMPLEMENTAÇÃO DOS PRODUTOS-Físico (Outputs - PMR)</t>
  </si>
  <si>
    <t>3b. PROGRESSO NA IMPLEMENTAÇÃO DOS PRODUTOS-Financeiro (Outputs - PMR)</t>
  </si>
  <si>
    <t>Nível de Aprovação BID</t>
  </si>
  <si>
    <t>Nível de Aprovação Mutuário - Garantidor</t>
  </si>
  <si>
    <t>STATUS
(VERSÃO ANTERIOR)</t>
  </si>
  <si>
    <t>1. RESUMO EXECUTIVO</t>
  </si>
  <si>
    <t>Observações</t>
  </si>
  <si>
    <t>Indicador</t>
  </si>
  <si>
    <t>Meios de Verificação</t>
  </si>
  <si>
    <t>Unidade de Medida</t>
  </si>
  <si>
    <t>Valor</t>
  </si>
  <si>
    <t>Linha de Base</t>
  </si>
  <si>
    <t>Meios de Verificações</t>
  </si>
  <si>
    <t>Ano</t>
  </si>
  <si>
    <t>Planejado</t>
  </si>
  <si>
    <t>Real</t>
  </si>
  <si>
    <t>ID</t>
  </si>
  <si>
    <t>Fim do Programa</t>
  </si>
  <si>
    <t>Ano 5</t>
  </si>
  <si>
    <t>Ano 6</t>
  </si>
  <si>
    <t>Progresso</t>
  </si>
  <si>
    <t>Unidades</t>
  </si>
  <si>
    <t>%</t>
  </si>
  <si>
    <t>$</t>
  </si>
  <si>
    <t>DESEMBOLSOS</t>
  </si>
  <si>
    <t>Planilha</t>
  </si>
  <si>
    <t>Resumo Executivo</t>
  </si>
  <si>
    <t>VALORES PLANEJADOS</t>
  </si>
  <si>
    <t xml:space="preserve">O Projeto contribuirá, no âmbito estadual, para o equilíbrio fiscal sustentável, com repercussão na economia do Estado. </t>
  </si>
  <si>
    <t>Pressupostos</t>
  </si>
  <si>
    <t>Impacto
(1 a 5)</t>
  </si>
  <si>
    <t>Documento de encaminhamento (no)</t>
  </si>
  <si>
    <t>Área</t>
  </si>
  <si>
    <t>Relação de Consultoria-Obras</t>
  </si>
  <si>
    <t>Trajetória da Dívida / Receita Líquida Real (RLR)  - Vlr máximo</t>
  </si>
  <si>
    <t>Resultado Primário -  Vlr mínimo</t>
  </si>
  <si>
    <t>Pessoal / Receita Corrente Líquida (RCL)  - Vlr máximo</t>
  </si>
  <si>
    <t>Receita Própria  - Vlr mínimo</t>
  </si>
  <si>
    <t xml:space="preserve">Linha de base </t>
  </si>
  <si>
    <t xml:space="preserve">Outras Despesas Correntes  / Receita Líquida Real (RLR)  - Valor máximo 
</t>
  </si>
  <si>
    <t>Investimentos / Receita Líquida Real (RLR)  -  Valor máximo</t>
  </si>
  <si>
    <t>6. CUMPRIMENTO DE CLÁUSULAS CONTRATUAIS</t>
  </si>
  <si>
    <t>País</t>
  </si>
  <si>
    <t>Nome do projeto</t>
  </si>
  <si>
    <t>Número do empréstimo</t>
  </si>
  <si>
    <t>Classificação Ambiental e Social</t>
  </si>
  <si>
    <t>Data do primeiro desembolso</t>
  </si>
  <si>
    <t>Mutuário</t>
  </si>
  <si>
    <t>Fonte (CO, FOE)</t>
  </si>
  <si>
    <t>Composição atual da equipe</t>
  </si>
  <si>
    <t>Composição da equipe no momento da aprovação do LP pela diretoria do Banco</t>
  </si>
  <si>
    <t>ADMINISTRAÇÃO</t>
  </si>
  <si>
    <t>IMPREVISTOS</t>
  </si>
  <si>
    <t>TOTAL PROJETO</t>
  </si>
  <si>
    <t>Número do projeto</t>
  </si>
  <si>
    <t>Tipo de operação</t>
  </si>
  <si>
    <t>Órgão Executor</t>
  </si>
  <si>
    <t>Setor</t>
  </si>
  <si>
    <t>Data de assinatura do contrato</t>
  </si>
  <si>
    <t>Pari Passu</t>
  </si>
  <si>
    <t>Prazo de amortização (meses)</t>
  </si>
  <si>
    <t>ORÇAMENTO CONTRATUAL</t>
  </si>
  <si>
    <t>BANCO</t>
  </si>
  <si>
    <t>1- Administração do Projeto</t>
  </si>
  <si>
    <t>2- Custos Diretos</t>
  </si>
  <si>
    <t xml:space="preserve">     Gestão Estratégica Integrada</t>
  </si>
  <si>
    <t xml:space="preserve">     Administração Tributária</t>
  </si>
  <si>
    <t>3- Sem Alocação Específica</t>
  </si>
  <si>
    <t>PERCENTAGEM</t>
  </si>
  <si>
    <t>-----</t>
  </si>
  <si>
    <t>Gestão de Recursos Estratégicos</t>
  </si>
  <si>
    <t xml:space="preserve"> 3.1 Imprevistos</t>
  </si>
  <si>
    <t>Administração Financeira</t>
  </si>
  <si>
    <t>Data original de expiração do desembolso</t>
  </si>
  <si>
    <t>Objetivo do Projeto</t>
  </si>
  <si>
    <t>Resultados</t>
  </si>
  <si>
    <t>Base (2007)</t>
  </si>
  <si>
    <t>Ano 1</t>
  </si>
  <si>
    <t>Ano 2</t>
  </si>
  <si>
    <t>Ano 3</t>
  </si>
  <si>
    <t>Ano 4</t>
  </si>
  <si>
    <t>Meta</t>
  </si>
  <si>
    <t>Trajetória da Dívida / RLR (Valor máximo)</t>
  </si>
  <si>
    <t>Manter a trajetória acordada com a STN para o 2º ano de execução do projeto.</t>
  </si>
  <si>
    <t>Metas fiscais acordadas com o Governo Federal, no âmbito do Programa de Ajuste Fiscal dos Estados (PAF).</t>
  </si>
  <si>
    <t>Na renegociação do PAF com a STN as metas para o 3º. e 4º. anos poderão ser revistas.</t>
  </si>
  <si>
    <t>Resultado Primário (Milhões) (Valor mínimo)</t>
  </si>
  <si>
    <t>Manter o valor acordado com a STN para o 2º ano de execução do projeto.</t>
  </si>
  <si>
    <t>Pessoal / RCL (%) (Valor máximo)</t>
  </si>
  <si>
    <t>Manter a despesa com pessoal em relação à Receita Corrente Líquida abaixo do limite prudencial da LRF (57,6%)</t>
  </si>
  <si>
    <t>Receita Própria (Milhões) (Valor mínimo)</t>
  </si>
  <si>
    <t>Atingir R$ 5.336 milhões de receita própria</t>
  </si>
  <si>
    <t>Manter o percentual acordado com a STN para o 2º ano de execução do projeto.</t>
  </si>
  <si>
    <t>Investimentos / RLR (%) (Valor máximo)</t>
  </si>
  <si>
    <t>COMPONENTE I: GESTÃO ESTRATÉGICA INTEGRADA</t>
  </si>
  <si>
    <t>Subcomponente 1 COOPERAÇÃO INTERINSTITUCIONAL NACIONAL E INTERNACIONAL</t>
  </si>
  <si>
    <t>Produtos</t>
  </si>
  <si>
    <t>2 visitas técnicas e 1 seminário realizados</t>
  </si>
  <si>
    <t>4 visitas técnicas e 1 seminário realizados</t>
  </si>
  <si>
    <t>6 visitas técnicas e 2 seminários realizados</t>
  </si>
  <si>
    <t>8 visitas técnicas e 2 seminários realizados</t>
  </si>
  <si>
    <t>Realizar 8 visitas técnicas e 2 seminários</t>
  </si>
  <si>
    <t>1 nova tecnologia incorporada</t>
  </si>
  <si>
    <t>2 novas tecnologias incorporadas</t>
  </si>
  <si>
    <t>COMPONENTE II: ADMINISTRAÇÃO TRIBUTÁRIA E CONTENCIOSO FISCAL</t>
  </si>
  <si>
    <t>Subcomponente 2 MELHORIA DA EFICIÊNCIA E EFICÁCIA DA ADMINISTRAÇÃO TRIBUTÁRIA</t>
  </si>
  <si>
    <t>0 Postos fiscais de grande porte com leitura de imagens de carga de veículos</t>
  </si>
  <si>
    <t>1 Posto fiscal de grande porte com leitura de imagens de carga de veículos</t>
  </si>
  <si>
    <t>2 Postos fiscais de grande porte com leitura e imagens de carga de veículos</t>
  </si>
  <si>
    <t>4 Postos fiscais de grande porte com leitura de imagens de carga de veículos</t>
  </si>
  <si>
    <t>Não existem empresas utilizando essa sistemática.</t>
  </si>
  <si>
    <t>40% de empresas com instalação de chips nos equipamentos de ECF</t>
  </si>
  <si>
    <t>68% de empresas com instalação de chips nos equipamentos de ECF</t>
  </si>
  <si>
    <t>Alcançar com instalação de chips  68% das empresas que utilizam equipamentos ECF</t>
  </si>
  <si>
    <t>R$ 593 milhões (arrecadação 2007, comércio varejista)</t>
  </si>
  <si>
    <t>Incrementar em 5% a arrecadação de ICMS proveniente do segmento de mercado varejista, atingindo 623 milhões</t>
  </si>
  <si>
    <t>Aumentar a Arrecadação de ICMS em R$ 220 milhões (aumento de 5,6%, em termos reais).</t>
  </si>
  <si>
    <t>Tempo médio de 15 horas de espera dos veículos de carga nos Postos Fiscais</t>
  </si>
  <si>
    <t>Tempo médio de espera = 5 horas</t>
  </si>
  <si>
    <t>Reduzir para cinco horas o tempo médio de espera dos veículos de carga nos Postos Fiscais</t>
  </si>
  <si>
    <t>Subcomponente 3 APERFEIÇOAMENTO DA GESTÃO DO CADASTRO E IMPLANTAÇÃO DO SISTEMA PÚBLICO DE ESCRITURAÇÃO DIGITAL</t>
  </si>
  <si>
    <t>Total de Registro de empresas = 114.000 em 2007</t>
  </si>
  <si>
    <t>Aumentar o registro de empresas para 118.560 (4%)</t>
  </si>
  <si>
    <t>Aumentar o registro de empresas para 120.120 (8%)</t>
  </si>
  <si>
    <t>Aumentar o registro de empresas para 131.100 (15%)</t>
  </si>
  <si>
    <t>Reduzir a informalidade de empresas em 15%, mensurada através número de empresas cadastradas (acréscimo para 131.100)</t>
  </si>
  <si>
    <t>26.984.101 notas fiscais emitidas manualmente, em 2007</t>
  </si>
  <si>
    <t>Emissão de 1.349.205 de Notas Fiscais Eletrônicas (5%)</t>
  </si>
  <si>
    <t>Emissão de 4.047.615 de Notas Fiscais Eletrônicas (15%)</t>
  </si>
  <si>
    <t>Emissão de 13.492.051 de Notas Fiscais Eletrônicas (50%)</t>
  </si>
  <si>
    <t>Atingir o percentual de 50% de emissão da nota fiscal eletrônica</t>
  </si>
  <si>
    <t>Relação percentual entre o imposto lançado por notificação e recuperado = 11,9%</t>
  </si>
  <si>
    <t>Relação entre o imposto recuperado e o imposto lançado alcança 15%</t>
  </si>
  <si>
    <t>Relação entre o imposto recuperado e o imposto lançado alcança 20%</t>
  </si>
  <si>
    <t>Aumentar a relação percentual entre o imposto recuperado e o imposto lançado (por notificação) para 20%</t>
  </si>
  <si>
    <t>Todas as empresas obrigadas a manter escrituração manual</t>
  </si>
  <si>
    <t>40% das Empresas com escrita fiscal utilizando o SPED Contábil</t>
  </si>
  <si>
    <t>100% das Empresas com escrita fiscal utilizando o SPED Contábil</t>
  </si>
  <si>
    <t>Eliminar a escrituração em papel dos livros fiscais e contábeis</t>
  </si>
  <si>
    <t>19% das empresas registradas em até 72 horas</t>
  </si>
  <si>
    <t>22% das empresas registradas em até 72 horas</t>
  </si>
  <si>
    <t>30% das empresas registradas em até 72 horas</t>
  </si>
  <si>
    <t>35% das empresas registradas em até 72 horas</t>
  </si>
  <si>
    <t>40% das empresas registradas em até 72 horas</t>
  </si>
  <si>
    <t>Reduzir o tempo de concessão da inscrição cadastral para, no máximo, 72 horas, para 40% das novas solicitações.</t>
  </si>
  <si>
    <t>COMPONENTE III: ADMINISTRAÇÃO FINANCEIRA, PATRIMÔNIO E CONTROLE INTERNO</t>
  </si>
  <si>
    <t>Subcomponente 4 MELHORIA DA EFICIÊNCIA E DA EFICÁCIA DA ADMINISTRAÇÃO FINANCEIRA</t>
  </si>
  <si>
    <t>Tempo médio de cálculo da capacidade de endividamento e de pagamento = 1 dia</t>
  </si>
  <si>
    <t>Novo sistema implantado com consulta “on-line”</t>
  </si>
  <si>
    <t>Reduzir para "on-line" o tempo de cálculo da capacidade de endividamento e de pagamento</t>
  </si>
  <si>
    <t>Nenhuma informação sobre contratos envolvendo os ativos é disponibilizada em tempo real</t>
  </si>
  <si>
    <t>Identificar e disponibilizar em tempo real, 100% dos créditos oriundos da federalização do BEC</t>
  </si>
  <si>
    <t>Créditos oriundos da privatização do Banco do Estado de Ceará – BEC no valor de R$ 350 milhões</t>
  </si>
  <si>
    <t>1% do estoque de créditos recuperados (R$ 3,5 milhões)</t>
  </si>
  <si>
    <t>Recuperar 5% do estoque de créditos oriundos da privatização do Banco do Estado de Ceará – BEC (R$ 17,5 milhões)</t>
  </si>
  <si>
    <t>COMPONENTE IV: GESTÃO DE RECURSOS ESTRATÉGICOS</t>
  </si>
  <si>
    <t>Subcomponente 5 APERFEIÇOAMENTO DOS MECANISMOS DE TRANSPARÊNCIA E COMUNICAÇÃO COM A SOCIEDADE</t>
  </si>
  <si>
    <t>270 tipos de transações oferecidos no ambiente web</t>
  </si>
  <si>
    <t>378 tipos de transações oferecidos no ambiente web</t>
  </si>
  <si>
    <t>Aumentar em 40% os tipos de transações oferecidas no ambiente Web</t>
  </si>
  <si>
    <t>Pesquisa de satisfação em fase de Licitação</t>
  </si>
  <si>
    <t>Índice de satisfação nas unidades de atendimento presencial apurado</t>
  </si>
  <si>
    <t>Alcance do índice de satisfação para 95% nas unidades de atendimento presencial</t>
  </si>
  <si>
    <t>Alcançar índice de satisfação de 95% nas unidades de atendimento presencial</t>
  </si>
  <si>
    <t>Subcomponente 6 MODERNIZAÇÃO DA GESTÃO E APERFEIÇOAMENTO DOS SERVIÇOS DE TECNOLOGIA DA INFORMAÇÃO E COMUNICAÇÃO</t>
  </si>
  <si>
    <t>Percentual de disponibilidade do ambiente informático de 98%</t>
  </si>
  <si>
    <t>Limite de parada do ambiente informático: 86 horas/ano</t>
  </si>
  <si>
    <t>Aumento do percentual de disponibilidade do ambiente informático para 99% (Limite de parada do ambiente informático): 86 horas/ano</t>
  </si>
  <si>
    <t>Tempo médio para início de atendimento = 48 horas.</t>
  </si>
  <si>
    <t>Tempo médio para início do atendimento = 24 horas.</t>
  </si>
  <si>
    <t>Reduzir o tempo médio para início do atendimento para 24 horas.</t>
  </si>
  <si>
    <t>100% dos processos ativos do Contencioso Administrativo Tributário – CONAT tramitam em papel</t>
  </si>
  <si>
    <t>80% dos processos ativos do CONAT digitalizados e disponibilizados</t>
  </si>
  <si>
    <t>100% dos processos ativos do CONAT digitalizados e disponibilizados</t>
  </si>
  <si>
    <t>100% dos processos ativos do CONAT digitalizados e disponibilizados em 48 meses.</t>
  </si>
  <si>
    <t>Não existe certificação digital</t>
  </si>
  <si>
    <t>100% dos aplicativos corporativos da SEFAZ em plataforma baixa acessados com certificados digitais</t>
  </si>
  <si>
    <t>Não existe validade jurídica assegurada</t>
  </si>
  <si>
    <t>40% dos documentos recebidos via Web com validade jurídica assegurada</t>
  </si>
  <si>
    <t>60% dos documentos recebidos via Web com validade jurídica assegurada</t>
  </si>
  <si>
    <t>100% dos documentos recebidos via Web com validade jurídica assegurada</t>
  </si>
  <si>
    <t>Assegurar a validade jurídica de 100% dos documentos recebidos via Web</t>
  </si>
  <si>
    <t>Subcomponente 7 APERFEIÇOAMENTO DA GESTÃO DE RECURSOS HUMANOS</t>
  </si>
  <si>
    <t>Inexistência de uma política norteadora dos instrumentos de gestão RH</t>
  </si>
  <si>
    <t>Política de RH aprovada com a participação dos servidores</t>
  </si>
  <si>
    <t>Implantar, sistematizar e divulgar a Política de RH para 100% dos servidores</t>
  </si>
  <si>
    <t>1 tipo de consulta sobre informações funcionais disponibilizadas on line para os servidores (censo de escolaridade)</t>
  </si>
  <si>
    <t>6 novos tipos de consulta sobre informações funcionais disponibilizadas on line para os servidores</t>
  </si>
  <si>
    <t>Disponibilizar 6 novos tipos de consulta on-line para os servidores: acompanhamento do serviço social, folha de pagamento, férias, cadastro funcional, licenças, metas institucionais e metas individuais</t>
  </si>
  <si>
    <t>0 gerentes avaliados em 2007</t>
  </si>
  <si>
    <t>Avaliação gerencial implantada e sistematizada</t>
  </si>
  <si>
    <t>150 gerentes avaliados</t>
  </si>
  <si>
    <t>Avaliar, anualmente,  100% dos gerentes (150 gerentes)</t>
  </si>
  <si>
    <t>O remanejamento de pessoal não observa as competências requeridas</t>
  </si>
  <si>
    <t>100% do remanejamento do pessoal baseado nas competências mapeadas</t>
  </si>
  <si>
    <t>Subcomponente 8 FORTALECIMENTO DA GESTÃO DO CONHECIMENTO</t>
  </si>
  <si>
    <t>Não existe ferramenta de EAD em ambiente próprio da  SEFAZ</t>
  </si>
  <si>
    <t>15 horas de EAD disponibilizadas para os servidores</t>
  </si>
  <si>
    <t>Disponibilizar anualmente 30 horas de Educação a Distância - EAD para os servidores</t>
  </si>
  <si>
    <t>2.565 vagas ofertadas em 2007</t>
  </si>
  <si>
    <t>2.693 oportunidades de capacitação (5%)</t>
  </si>
  <si>
    <t>2.821 oportunidades de capacitação (10%)</t>
  </si>
  <si>
    <t>3.257 oportunidades de capacitação (27%)</t>
  </si>
  <si>
    <t>Aumentar o número anual de oportunidades de capacitação para 3.257 vagas (crescimento de 27%)</t>
  </si>
  <si>
    <t>20% dos servidores treinados são do interior</t>
  </si>
  <si>
    <t>30% dos servidores treinados são do interior</t>
  </si>
  <si>
    <t>40% dos servidores treinados são do interior</t>
  </si>
  <si>
    <t>Ampliar o número de servidores treinados do interior para 40% do total de servidores treinados</t>
  </si>
  <si>
    <t>Arrecadação de ICMS comércio varejista =R$ 612 milhões</t>
  </si>
  <si>
    <t>Arrecadação de ICMS em 2007 =R$ 3.917 milhões</t>
  </si>
  <si>
    <t>Arrecadação de ICMS = R$ 3.995 milhões (Aumento de 2%, a preços de  2007)</t>
  </si>
  <si>
    <t>Arrecadação de ICMS em 2007 = R$ 4.136 milhões (Aumento de 5,6%, a preços de 2007)</t>
  </si>
  <si>
    <t>Outras Despesas Correntes (%) (Valor máximo) (sobre a RLR)</t>
  </si>
  <si>
    <t>2% do estoque de créditos recuperados (R$ 7 milhões)</t>
  </si>
  <si>
    <t>5% do estoque de créditos recuperados (R$ 17,5 milhões)</t>
  </si>
  <si>
    <t>Indicadores de Resultados do Objetivo Geral</t>
  </si>
  <si>
    <t>Freqüência</t>
  </si>
  <si>
    <t>Atualização</t>
  </si>
  <si>
    <t>Apuração – Projeto</t>
  </si>
  <si>
    <t>Trajetória da Dívida / RLR</t>
  </si>
  <si>
    <t>Relatório de Gestão Fiscal</t>
  </si>
  <si>
    <t>Quadrimestral</t>
  </si>
  <si>
    <t>Resultado Primário (Milhões)</t>
  </si>
  <si>
    <t>Pessoal / RCL (%)</t>
  </si>
  <si>
    <t>Receita Própria (Milhões)</t>
  </si>
  <si>
    <t>Outras Despesas Correntes (%)</t>
  </si>
  <si>
    <t>Investimentos / RLR (%)</t>
  </si>
  <si>
    <t>Componente</t>
  </si>
  <si>
    <t>Subcomponente</t>
  </si>
  <si>
    <t>Produto ou</t>
  </si>
  <si>
    <t>Resultado[1]</t>
  </si>
  <si>
    <t>Execução</t>
  </si>
  <si>
    <t>Resultado</t>
  </si>
  <si>
    <t>C1.Sb1.P1.1a</t>
  </si>
  <si>
    <t>Número de convênios de cooperação técnica firmados</t>
  </si>
  <si>
    <t>Diário Oficial do Estado</t>
  </si>
  <si>
    <t>Por evento de publicação de extrato de convênio</t>
  </si>
  <si>
    <t>C1.Sb1.P1.1b</t>
  </si>
  <si>
    <t>C1.Sb1.R1.1</t>
  </si>
  <si>
    <t>C2.Sb2.P2.1</t>
  </si>
  <si>
    <t>C2.Sb2.P2.2</t>
  </si>
  <si>
    <t>C2.Sb2.R2.1</t>
  </si>
  <si>
    <t>C2.Sb2.R2.2</t>
  </si>
  <si>
    <t>C2.Sb2.R2.3</t>
  </si>
  <si>
    <t>Tempo médio de espera dos veículos de carga nos Postos Fiscais (em horas)</t>
  </si>
  <si>
    <t>C2.Sb3.P3.1</t>
  </si>
  <si>
    <t>Relatório do Sistema de Cadastro da SEFAZ</t>
  </si>
  <si>
    <t>C2.Sb3.P3.2</t>
  </si>
  <si>
    <t>Sistema da NF-e (a ser implantado)</t>
  </si>
  <si>
    <t>C2.Sb3.P3.3</t>
  </si>
  <si>
    <t>Sistema ARRECADA</t>
  </si>
  <si>
    <t>Diário</t>
  </si>
  <si>
    <t>C2.Sb3.P3.4</t>
  </si>
  <si>
    <t>Sistema SPED (a ser implantado) e Sistema CADASTRO</t>
  </si>
  <si>
    <t>C2.Sb3.R3.1</t>
  </si>
  <si>
    <t>C3.Sb4.P4.1a</t>
  </si>
  <si>
    <t>Sistema de Dívida Pública</t>
  </si>
  <si>
    <t>C3.Sb4.P4.1b</t>
  </si>
  <si>
    <t>C3.Sb4.P4.2</t>
  </si>
  <si>
    <t>C3.Sb4.R4.1</t>
  </si>
  <si>
    <t>C4.Sb5.P5.1</t>
  </si>
  <si>
    <t>Site da SEFAZ</t>
  </si>
  <si>
    <t>C4.Sb5.R5.1</t>
  </si>
  <si>
    <t>C4.Sb6.P6.1</t>
  </si>
  <si>
    <t>Relatório de Performance dos Sistemas Corporativos</t>
  </si>
  <si>
    <t>C4.Sb6.P6.2</t>
  </si>
  <si>
    <t>Tempo médio para início de atendimento</t>
  </si>
  <si>
    <t>Sistema de Controle de Atendimento ao Cliente – CAC</t>
  </si>
  <si>
    <t>C4.Sb6.P6.3</t>
  </si>
  <si>
    <t>Planilha de Controle de Processos</t>
  </si>
  <si>
    <t>C4.Sb6.P6.4</t>
  </si>
  <si>
    <t>Mapa de aplicativos corporativos</t>
  </si>
  <si>
    <t>C4.Sb6.R6.1</t>
  </si>
  <si>
    <t>C4.Sb7.P7.1</t>
  </si>
  <si>
    <t>Relatórios de freqüência dos eventos de divulgação</t>
  </si>
  <si>
    <t>Por evento de divulgação</t>
  </si>
  <si>
    <t>C4.Sb7.P7.2</t>
  </si>
  <si>
    <t>Sistema de Recursos Humanos da SEFAZ – SIS-RH</t>
  </si>
  <si>
    <t>NA</t>
  </si>
  <si>
    <t>C4.Sb7.P7.3</t>
  </si>
  <si>
    <t>Sistema de avaliação gerencial</t>
  </si>
  <si>
    <t>C4.Sb7.R7.1</t>
  </si>
  <si>
    <t>C4.Sb8.P8.1</t>
  </si>
  <si>
    <t>C4.Sb8.P8.2</t>
  </si>
  <si>
    <t>C4.Sb8.R8.1</t>
  </si>
  <si>
    <t>[1] Numeração dos produtos de acordo com o Marco de Resultados</t>
  </si>
  <si>
    <t xml:space="preserve">Realização de treinamento nos temas fiduciários (financeiros), com apresentação das normas e procedimentos do Banco e orientação para o uso adequado destas normas.
Análise dos sistemas contábeis-financeiros do Estado para acompanhamento e controle do PROFISCO/CE </t>
  </si>
  <si>
    <t>O Componente foi revisto e não existem considerações a serem feitas</t>
  </si>
  <si>
    <t>O número de Kits com módulos GPS/GPRS foi reduzido, sem, no entanto, alterar o marco de resultados proposto para este componente</t>
  </si>
  <si>
    <t>O investimento em “Equipamento Material e Serviço de Apoio Operacional”, será realizado com recursos extra-Projeto, e este montante realocado na programação de gastos</t>
  </si>
  <si>
    <t>A previsão dos recursos planejados para esta ação durante a preparação do Projeto é insuficiente, mas analisou-se a proposta de remanejamento sem que com isso se alterassem as metas propostas. Dessa forma, recursos financeiros inicialmente alocados em ações do PAI que já foram realizadas ou que o serão com recursos extra-Projeto foram remanejados para esta ação</t>
  </si>
  <si>
    <t>O desenvolvimento da adequação de infraestrutura tecnológica e da adequação das rotinas críticas serão totalmente implementadas pela equipe da SEFAZ. O produto continua sendo monitorado e acompanhado pelo Projeto, podendo ser incorporado gastos de contrapartida local, caso necessário</t>
  </si>
  <si>
    <t>A Coordenadoria do Tesouro Estadual (COTES/SEFAZ), determinou que o desenvolvimento de um novo sistema fosse realizado por seus próprios técnicos, possibilitando a disponibilidade de recursos previstos nesta ação para novo planejamento</t>
  </si>
  <si>
    <t>4.1</t>
  </si>
  <si>
    <t>4.2</t>
  </si>
  <si>
    <t>4.3</t>
  </si>
  <si>
    <t>Ainda, que se prevendo um escopo maior que o originalmente planejado neste Projeto, a SEFAZ não detém a gerência do desenvolvimento do S2GPR, mas a Coordenação da UGP comunicou que no que tange a recursos humanos esta meta continuará a ser monitorada</t>
  </si>
  <si>
    <t>As ações planejadas neste produto já foram parcialmente atingidas. Como  exemplo, a pesquisa inicial de satisfação dos clientes realizada em 2008 e a aquisição de equipamentos previstos com recursos extra-Projeto, disponibilizando, assim, recursos financeiros para alocação em outros itens de despesa</t>
  </si>
  <si>
    <t>Ao invés de adquirir licença de Sistema Operacional, irá adquirir subscrição de softwares livres Red Hat</t>
  </si>
  <si>
    <t>6.1</t>
  </si>
  <si>
    <t>A SEFAZ optou por realizar esta ação integralmente com recursos extra-Projeto sem prejuízo algum para o alcance desta meta</t>
  </si>
  <si>
    <t>7.3</t>
  </si>
  <si>
    <r>
      <t>Dificuldade:</t>
    </r>
    <r>
      <rPr>
        <sz val="11"/>
        <rFont val="Calibri"/>
        <family val="2"/>
      </rPr>
      <t xml:space="preserve"> desenvolvimento de produto ainda indisponível no mercado.</t>
    </r>
  </si>
  <si>
    <r>
      <t xml:space="preserve">Produto integralmente implantado.
</t>
    </r>
    <r>
      <rPr>
        <sz val="11"/>
        <color indexed="10"/>
        <rFont val="Calibri"/>
        <family val="2"/>
      </rPr>
      <t>INCORPORAR NO CUSTO O VALOR DO PRODUTO 6.3 NO PMR</t>
    </r>
    <r>
      <rPr>
        <sz val="11"/>
        <rFont val="Calibri"/>
        <family val="2"/>
      </rPr>
      <t xml:space="preserve">
</t>
    </r>
  </si>
  <si>
    <r>
      <t xml:space="preserve">Produto integralmente implantado. 
</t>
    </r>
    <r>
      <rPr>
        <sz val="11"/>
        <color indexed="10"/>
        <rFont val="Calibri"/>
        <family val="2"/>
      </rPr>
      <t>CUSTO INTEGRADO AO PRODUTO 6.1</t>
    </r>
  </si>
  <si>
    <t>Melhorar a eficiência e a transparência da gestão fiscal visando a: (i) aumentar a receita própria do Estado; (ii) aumentar a eficiência e a eficácia e melhorar o controle do gasto público; e (iii) prover melhores serviços ao cidadão.</t>
  </si>
  <si>
    <t>19 Postos fiscais de Médio e Pequeno Porte, dos Especiais e da Região Metropolitana com novo modelo de gestão e/ou leitura de imagens de carga de veículos implantado</t>
  </si>
  <si>
    <t>4 Novas unidades de apoio a fiscalização instaladas</t>
  </si>
  <si>
    <t>Sistema de informações sobre precatórios</t>
  </si>
  <si>
    <t>Nenhuma informação sobre precatórios é disponibilizada em tempo real</t>
  </si>
  <si>
    <t>Identificar e disponibilizar em tempo real, 100% dos precatórios</t>
  </si>
  <si>
    <t>Banco de sucessores implantado</t>
  </si>
  <si>
    <t>0 servidores com perfil identificado</t>
  </si>
  <si>
    <t>Impactos</t>
  </si>
  <si>
    <t>NÃO INCLUÍDO NO MR/PMR</t>
  </si>
  <si>
    <t>PRODUTOS CONSTANTES DO PAI E INCLUÍDOS NO PMR (ISOLADOS OU CONSOLIDADOS)</t>
  </si>
  <si>
    <t>PRODUTOS INCLUÍDOS NO MARCO DE RESULTADOS ORIGINAL E NO PMR</t>
  </si>
  <si>
    <t>DOCUMENTOS DE PROJETO</t>
  </si>
  <si>
    <t xml:space="preserve">Atividade </t>
  </si>
  <si>
    <t>Como a atividade será realizada?</t>
  </si>
  <si>
    <t>Orçamento (R$)</t>
  </si>
  <si>
    <r>
      <t xml:space="preserve">Data Inicio </t>
    </r>
    <r>
      <rPr>
        <b/>
        <sz val="8"/>
        <rFont val="Arial"/>
        <family val="2"/>
      </rPr>
      <t>(DD.MM.AA)</t>
    </r>
  </si>
  <si>
    <r>
      <t xml:space="preserve">Data Término </t>
    </r>
    <r>
      <rPr>
        <b/>
        <sz val="8"/>
        <rFont val="Arial"/>
        <family val="2"/>
      </rPr>
      <t>(DD.MM.AA)</t>
    </r>
  </si>
  <si>
    <t>Responsável</t>
  </si>
  <si>
    <t>Indicador de Cumprimento</t>
  </si>
  <si>
    <r>
      <t>Data Monitoramento</t>
    </r>
    <r>
      <rPr>
        <b/>
        <sz val="8"/>
        <rFont val="Arial"/>
        <family val="2"/>
      </rPr>
      <t xml:space="preserve"> (DD.MM.AA)</t>
    </r>
  </si>
  <si>
    <t>Nome</t>
  </si>
  <si>
    <t>Instituição</t>
  </si>
  <si>
    <t>COMPONENTE/PRODUTO</t>
  </si>
  <si>
    <t>TIPO DE RISCO (GRP/LRR)</t>
  </si>
  <si>
    <t>RISCO</t>
  </si>
  <si>
    <t>Componente Administração Tributária</t>
  </si>
  <si>
    <t>Problema principal: Incapacidade de atendimento satisfatório das demandas da sociedade quanto a excelência dos serviços.</t>
  </si>
  <si>
    <t>Problemas</t>
  </si>
  <si>
    <t>Causas</t>
  </si>
  <si>
    <t>Soluções</t>
  </si>
  <si>
    <t>Níveis de arrecadação insatisfatórios por obsolescência dos instrumentos de gestão tributária</t>
  </si>
  <si>
    <t>1.1 Otimização do planejamento da arrecadação e sistematização do acompanhamento dos contribuintes, mediante o desenvolvimento e implantação de uma metodologia para analise e seleção criteriosa da ação fiscal, apoiado por uma ferramenta informatizada integrada com os demais sistemas da SEFAZ.</t>
  </si>
  <si>
    <t>1.1 diminuição do tempo médio de execução da ação fiscal em uma empresa de xx para yy dias.</t>
  </si>
  <si>
    <t>1.2 A percentagem entre o imposto lançado e o recuperado aumenta de xx para yy.</t>
  </si>
  <si>
    <t>1.3 A percentagem de empresas omissas no cumprimento das obrigações tributárias principais e acessórias diminui de xx a yy%.</t>
  </si>
  <si>
    <t>2.1 Elevado tempo para a concessão do registro das empresas por excesso de burocracia nos órgãos competentes.</t>
  </si>
  <si>
    <t>2.2 Aumento da informalidade do comercio em geral com perda de receita para o Estado</t>
  </si>
  <si>
    <t>2.3 Necessidade de apresentação da mesma  informação para diferentes instancias de governo para efeitos de registro de empresas.</t>
  </si>
  <si>
    <t xml:space="preserve">2.1 Sincronização do cadastro estadual com a Receita Federal e a Junta Comercial do Estado do Ceará, mediante a revisão e implantação de novos procedimentos apoiados por um sistema automatizado de registro de empresas. </t>
  </si>
  <si>
    <t>2.1 Redução da informalidade de empresas de xx%. Número de empresas cadastradas aumenta de aaaa para bbbbb.</t>
  </si>
  <si>
    <t>2.2 Tempo de concessão da inscrição se reduz de 150 dias para no máximo 72 horas.</t>
  </si>
  <si>
    <t>2.3  Informação digitada uma só vez para efeitos de registro</t>
  </si>
  <si>
    <t>3.1 Processo emissão, escrituração e guarda da nota fiscal elaborada em forma manual</t>
  </si>
  <si>
    <t>3.2 Alto custo para manutenção do processo de nota fiscal manual tanto para o governo como para o contribuinte</t>
  </si>
  <si>
    <t>3.3 Ineficiência de informação para o gerenciamento do fisco</t>
  </si>
  <si>
    <t>3.4 Significativo índice de evasão fiscal por deficiência de controle de notas fiscais</t>
  </si>
  <si>
    <t>3.1 Instalação da nota fiscal eletrônica e escrituração fiscal digital, mediante a revisão e implantação de novos procedimentos apoiados por um sistema informatizado de registro e manutenção da nota fiscal. Como também de atualização da planta de hardware e software de base.</t>
  </si>
  <si>
    <t>3.1 Redução em xx% da emissão da nota fiscal manual ( de aaa para bbb)</t>
  </si>
  <si>
    <t>3.2  Redução em xx% do custo de controle relativo ao selo de transito feito pela SEFAZ (de aaa para bbb)</t>
  </si>
  <si>
    <t>3.3 Incremento da arrecadação em 5% (de aaa para bbb)</t>
  </si>
  <si>
    <t>4.1 Processo de escrituração e guarda dos livros fiscais e contábeis levados em forma manual</t>
  </si>
  <si>
    <t>4.2 Alto custo de manutenção dos livros fiscais e contábeis</t>
  </si>
  <si>
    <t>4.3 Dificuldade na coleta e analise da informação contida nos livros fiscais e contábeis</t>
  </si>
  <si>
    <t>4.4 Significativo índice de evasão fiscal decorrente da precariedade do sistema de escrituração e guarda de livros manualizados</t>
  </si>
  <si>
    <t>4.1 Implantação o Sistema Público de Escrituração digital – SPED Fiscal e Contábil, mediante a revisão e implantação de novos procedimentos apoiados por um sistema informatizado de escrituração e manutenção dos livros fiscais e contábeis. Como também de atualização da planta de hardware e software de base.</t>
  </si>
  <si>
    <t>4.1 Redução em xx% da escrituração manual dos livros fiscais e contábeis ( de aaa para bbb)</t>
  </si>
  <si>
    <t>4.2 Redução em xx% do tempo na coleta, analise das informações contidas nos livros fiscais e contábeis (de aaa para bbb)</t>
  </si>
  <si>
    <t>4.3 Incremento da arrecadação em 5% (de aaa para bbb)</t>
  </si>
  <si>
    <t>5.1 Vulnerabilidade dos controles de entrada de mercadorias, bens, armas e drogas nas divisas do Estado</t>
  </si>
  <si>
    <t>5.2 Postos fiscais com estrutura física e tecnológica inadequada para o cumprimento da missão</t>
  </si>
  <si>
    <t>5.3 Elevado tempo de permanência de veículos transportadores de carga nos postos fiscais</t>
  </si>
  <si>
    <t>5.4 Imprecisão e fragilidade no registro da informação</t>
  </si>
  <si>
    <t>5.1 Automação da fiscalização de mercadorias em trânsito, mediante adequação e construção de postos fiscais; sistematização dos procedimentos fiscais; implantação de equipamentos de pesagem, raio X, digitalização, cameras e transmissão de voz, dados e imagem. Como também implantação de sistema informatizado de gestão integrada de fiscalização</t>
  </si>
  <si>
    <t>5.1 Tempo médio de permanência dos veículos fiscalizados diminui de xx para yy horas</t>
  </si>
  <si>
    <t>5.2 Quantidade de veículos que transita no postos fiscais de divisa aumenta em xx% (de aa para bb)</t>
  </si>
  <si>
    <t>5.3 A arrecadação proveniente dos postos de divisa aumenta em xx% (de aa para bb)</t>
  </si>
  <si>
    <t>5.4 100% dos veículos pesados na entrada dos postos de divisa</t>
  </si>
  <si>
    <t>6.1 Evasão fiscal decorrente da falta  de acompanhamento e controle do uso de equipamentos de emissão de cupons fiscais;</t>
  </si>
  <si>
    <t>6.2 Baixo poder aquisitivo dos pequenos comerciantes para a aquisição de equipamentos</t>
  </si>
  <si>
    <t>6.1Implantação de uma estrutura de fiscalização dos equipamentos de Emissão de Cupons Fiscais, mediante a instalação de instalação de um ship de controle de utilização dos equipamentos; implantação de um sistema de gestão da informação emitida pelos ships de controle; aquisição de equipamentos para suprir os pequenos comerciantes</t>
  </si>
  <si>
    <t>6.1 A arrecadação proveniente do seguimento de mercado varejista aumenta xx% (de aa para bb)</t>
  </si>
  <si>
    <t>6.2 100% dos ECFs com ships instalados</t>
  </si>
  <si>
    <t>6.3 100% da informação gerada em tempo real pelos estabelecimentos varejistas</t>
  </si>
  <si>
    <t>Impactos:</t>
  </si>
  <si>
    <t>1. Maior efetividade no combate à sonegação fiscal nas operações de circulação de mercadorias.</t>
  </si>
  <si>
    <t>2. Agilidade na abertura de novos negócios com reflexos na economia local</t>
  </si>
  <si>
    <t>3. Redução do comercio informal com a ampliação da base tributária</t>
  </si>
  <si>
    <t>4. Fortalecimento da relação entre o fisco e o contribuinte</t>
  </si>
  <si>
    <t>Componente Recursos Estratégicos</t>
  </si>
  <si>
    <t>Dificuldade no processo de  tomada de decisão, consequencia do desempenho institucional insatisfatório na gestão do planejamento, dos recursos humanos, tecnológicos e logisticos.</t>
  </si>
  <si>
    <t>1.1 As políticas vigentes estão defasadas, incompletas e desintegradas, como também não são de conhecimento dos servidores por insuficiente divulgação.</t>
  </si>
  <si>
    <t>1.1 Implantar um modelo de gestão de RH da SEFAZ, mediante a definição, normatização e divulgação de políticas setoriais específicas, implantação de um sistema de apoio à gestão de RH da SEFAZ, compatível com o sistema SIGE-RH do Estado.</t>
  </si>
  <si>
    <t>1.1 100% dos servidores informados sobre as políticas setorias de recursos humanos</t>
  </si>
  <si>
    <t>1.2 Nivel de satisfação dos servidores com a gestão de RH aumenta de xx a yy.</t>
  </si>
  <si>
    <t>1.3 100% das ações previstas na política setorial realizadas sistematicamente</t>
  </si>
  <si>
    <t>2.1 Os gerentes não são avaliados sistematicamente e as avaliações realizadas não subsidiam ações de desenvolvimento gerencial e pessoal</t>
  </si>
  <si>
    <t>2.1 Desenvolver e implementar a avaliação gerencial, mediante a definição de uma metodologia e  implantação de um módulo do sistema de apoio à gestão de RH da SEFAZ.</t>
  </si>
  <si>
    <t>2.1 100% dos gerentes anualmente avaliados</t>
  </si>
  <si>
    <t>2.2 100% das ações de capacitação gerencial vinculadas ao resultado da avaliação</t>
  </si>
  <si>
    <t>3.1 Incapacidade de atender as demandas de desenvolvimento, em especial quanto as unidades do interior.</t>
  </si>
  <si>
    <t>3.2 Elevado custo dos metodos tradicionais de treinamento</t>
  </si>
  <si>
    <t>3.3 Baixa disponibilidade de tempo do servidor em participar de treinamento presencial</t>
  </si>
  <si>
    <t>3.1 Implantar programa de educação à distância, mediante a definição de uma metodologia específica, incluindo formação de instrutores, tutores e conteudistas. Como também a aquisição de uma infra-estrutura de hardware para suportar uma aplicação de software livre.</t>
  </si>
  <si>
    <t>3.1 Aumento de xx para yy do acesso dos servidores ao programa de educação à distância.</t>
  </si>
  <si>
    <t>3.2 Oferta de pelo menos xx horas/ano por servidor</t>
  </si>
  <si>
    <t>3.3 Custo por servidor treinado reduz de xx a yy.</t>
  </si>
  <si>
    <t>3.4 Percentual entre servidores treinados do interior e da capital aumenta de xx para yy%</t>
  </si>
  <si>
    <t>4.1 Falta de clareza das competencias necessárias para o exercício das atividades</t>
  </si>
  <si>
    <t>4.2 Dificuldade de avaliar o nível de competência dos servidores no exercício das atividades</t>
  </si>
  <si>
    <t>4.3 Disssociação entre as ações de RH e as competências profissionais do servidor</t>
  </si>
  <si>
    <t>4.1 Realizar mapeamento dos perfis dos profissionais com base nas competências organizacionais, mediante a definição das competência requeridas e a identificação das competências existentes, apoiado por um  módulo do sistema de apoio à gestão de RH da SEFAZ.</t>
  </si>
  <si>
    <t>4.1 100% das competências requeridas pela organização definidas</t>
  </si>
  <si>
    <t>4.2 100% das competências individuais mapeadas</t>
  </si>
  <si>
    <t>4.3 100% das ações de capacitação compatíveis com o mapeamento das competências</t>
  </si>
  <si>
    <t>5.1 Dificuldade em identificar sucessores para os cargos gerenciais</t>
  </si>
  <si>
    <t>5.2  Falta de clareza e critério para designar gerentes</t>
  </si>
  <si>
    <t>5.1 Implantar um programa de sucessão gerencial, mediante a definição de critérios específicos e  processo de seleção e a construção de um banco de dados correspondente, apoiado por um módulo do sistema de apoio à gestão de RH da SEFAZ</t>
  </si>
  <si>
    <t>5.1 Pelo menos dois sucessores identificados para cada cargo gerencial.</t>
  </si>
  <si>
    <t>5.2 100% das novas nomeações gerenciais com indicação oriundas do banco de dados</t>
  </si>
  <si>
    <t>6.1 Disssociação entre as ações de capacitação e as competências requeridas ao servidor</t>
  </si>
  <si>
    <t>6.2 Descontinuidade das ações de capacitação</t>
  </si>
  <si>
    <t>6.1 Implantação de  programas de educação continuada, mediante o levantamento das necessidades organizacionais e individuais, assim como a definição de critérios para aquisição das competências, participação, concessão de benefícios.</t>
  </si>
  <si>
    <t>6.1 100% dos servidores com necessidade de capacitação mapeados.</t>
  </si>
  <si>
    <t>6.2 100% das ações de capacitação compatíveis com o levantamento de necessidade de treinamento.</t>
  </si>
  <si>
    <t>7.1 Obsolecencia dos equipamentos que suportam a operação dos processos fazendários, capital e postos fiscais</t>
  </si>
  <si>
    <t>7.2 Infra-estrutura elétrica e de comunicação inadequada para atender a nova estrutura de funcionamento</t>
  </si>
  <si>
    <t>7.3 Aplicativos informatizados defasados em relação ao novo modelo de negócio</t>
  </si>
  <si>
    <t xml:space="preserve">7.4 Baixo nível de segurança no ambiente de TI </t>
  </si>
  <si>
    <t>7.1 Adequação da infra-estrutura tecnológica aos processos fazendários, mediante a migração dos aplicativos que estão desenvolvidos em natural/adabas para baixa plataforma; aquisição de servidores; estações de trabalho e outros equipamentos de apoio; softwares de gerenciamento; discos para armazenamento; equipamentos e sistemas de segurança.</t>
  </si>
  <si>
    <t>7.1 100% das aplicações migradas para baixa plataforma</t>
  </si>
  <si>
    <t>7.2 Percentual de disponibilidade do ambiente informático aumenta de xx para 100%</t>
  </si>
  <si>
    <t>7.3 100% dos acessos físicos controlados eletronicamente.</t>
  </si>
  <si>
    <t>8.1 Ausencia de um instrumento de direcionamento das ações de TI</t>
  </si>
  <si>
    <t>8.2 Alto indice de atraso na entrega dos produtos de TI</t>
  </si>
  <si>
    <t>8.3 Baixa qualidade dos produtos de TI</t>
  </si>
  <si>
    <t>8.4 Quantidade de projetos demandados acima da capacidade de atendimento</t>
  </si>
  <si>
    <t>8.5 Insuficiente qualificação dos recursos humanos em TI</t>
  </si>
  <si>
    <t>8.1 Reestruturação do modelo de negócio da área de TI da SEFAZ, mediante a realização e implantação de um plano diretor de TI; redesenho do modelo de gestão e dos processos de TI; implantação de metodologias para desenvolvimento e gestão da qualidade de produtos e serviços; capacitação dos talentos humanos; reestruturação do quadro de pessoal ( em andamento)</t>
  </si>
  <si>
    <t>8.1 Eliminação dos atrasos na entrega dos produtos de TI.</t>
  </si>
  <si>
    <t>8.2  100% do pessoal de TI capacitado nas novas metodologias de desenvolvimento e gestão</t>
  </si>
  <si>
    <t>8.3 Tempo médio de inicio do atendimento diminui de xx para yy horas.</t>
  </si>
  <si>
    <t>9.1 Indisponibilidade de informação oportuna/tempestiva para a tomada de decisão</t>
  </si>
  <si>
    <t>9.2 Alto grau de dependencia da área de TI para disponibilização de informação gerencial</t>
  </si>
  <si>
    <t>9.1 Implantação de sistemática de acesso as informações gerenciais, mediante a complementação do datawarehouse da fiscalização / contencioso / RH / financeiro, incuindo atualização e ampliação das licenças de utilização e capacitação na utilização das ferramentas de geração de consultas e relatórios.</t>
  </si>
  <si>
    <t>9.1 O tempo médio de disponibilização da informação diminui de xx para yy horas.</t>
  </si>
  <si>
    <t>9.2 100% da informação dos sistemas corporativos da SEFAZ disponibilizados no datawarehouse</t>
  </si>
  <si>
    <t>9.3 90% de redução das solicitações de arquivos eletronicos à área de tecnologia. (de aaa para bbb)</t>
  </si>
  <si>
    <t>10.1 Elevado número de processos em mídia papel dificultando a guarda e manuseio de informação</t>
  </si>
  <si>
    <t>10.2 Vulnerabilidade, morosidade e dificuldade de acesso e controle do trâmite de processos</t>
  </si>
  <si>
    <t>10.1 Implantação de um sistema de Gerenciamento Eletrônico de Documentos – GED, mediante identificação dos processos a serem contemplados; implantação de uma ferramenta de GED apoiando a execução dos processos selecionados; capacitação do corpo técnico e funcional na utilização da ferramenta.</t>
  </si>
  <si>
    <t>10.1 Redução de 80% de papel no trâmite de novos processos (de aaa para bbb);</t>
  </si>
  <si>
    <t>10.2 100% da informação do sistema de RH digitalizada e disponibilizada no GED.</t>
  </si>
  <si>
    <t>10.3 100% das notas fiscais recebidas nos postos fiscais digitalizadas.</t>
  </si>
  <si>
    <t>11.1 Não cumprimento da legislação quanto a autenticação com validade jurídica de documentos recebidos via WEB</t>
  </si>
  <si>
    <t>11.2 Falta de estrutura adequada para atender as exigências dos projetos nacionais (SPED, NF-e, cadastro sincronizado, Super Simples e outros)</t>
  </si>
  <si>
    <t>11.1 Implantação de  uma sistemática de Certificação Digital reconhecida pela Infra-estrutura de Chaves Públicas (ICP) Brasil, mediante a aquisição de certificados digitais de pessoas físicas e-CPF, e-CNPJ, e certificados de hardware; adequação de todos os aplicativos da SEFAZ (plataforma baixa) para  implantação dos certificados garantindo a validade jurídica; e aquisição de tokens para acesso.</t>
  </si>
  <si>
    <t>11.1 100% dos aplicativos  da SEFAZ (plataforma baixa) adequados e certificados implantados.</t>
  </si>
  <si>
    <t>11.2 Número de processos por acessos indevidos enviados à corregedoria reduz de xx para 0.</t>
  </si>
  <si>
    <t>11.3 100% dos documentos recebidos via WEB com validade jurídica assegurada</t>
  </si>
  <si>
    <t>12.1 Baixo nível de satisfação do cidadão</t>
  </si>
  <si>
    <t>12.2 Excesso de burocracia nos processos fazendários</t>
  </si>
  <si>
    <t>12.3 Despadronização de procedimentos</t>
  </si>
  <si>
    <t>12.4 Deficiência na política de capacitação específica para o atendimento</t>
  </si>
  <si>
    <t>12.5 Ausência de identidade visual para os serviços de atendimento da SEFAZ (marca)</t>
  </si>
  <si>
    <t>12.6 Inadequada distribuição das unidades de atendimento no teritório de Estado.</t>
  </si>
  <si>
    <t>12.7 Baixa valorização da função de atendimento</t>
  </si>
  <si>
    <t>12.1 Implantação de um serviço de Atendimento de Excelência ao Cidadão nas unidades fazendárias com identidade visual própria, mediante a criação de um orgão central de gerenciamento do atendimento; definição de uma metodologia de atendimento de excelência com simplificação e padronização de procedimentos, apoiado por uma aplicação WEB integrada com os diversos sistemas corporativos da SEFAZ; adequação física e tecnológica das unidades de atendimento; capacitação do pessoal de atendimento nos processos e ferramentas específicas.</t>
  </si>
  <si>
    <t>12.1 100% das unidades de atendimento equipadas e adequadas, funcionando de acordo a nova metodologia.</t>
  </si>
  <si>
    <t>12.2 O número de serviços oferecidos em ambiente WEB sobe de xx para yy.</t>
  </si>
  <si>
    <t>12.3 O número de atendimentos conclusivos nas máquinas de auto atendimento sobe de xx para yy.</t>
  </si>
  <si>
    <t>12.4 Redução em xx% (de aaa para bbb) das reclamações a ouvidoria relativos a atendimento</t>
  </si>
  <si>
    <t>1. Melhor qualidade do processo de tomada de decisão</t>
  </si>
  <si>
    <t>2. Fortalecimento da imagem institucional da SEFAZ</t>
  </si>
  <si>
    <t>3. Maior confiabilidade das informações disponibilizadas na SEFAZ</t>
  </si>
  <si>
    <t>4. Melhoria do clima organizacional</t>
  </si>
  <si>
    <t>Componente de Melhoria da Eficiência e da Eficácia da Administração Financeira</t>
  </si>
  <si>
    <t>Baixo nivel de integração dos instrumentos de gestão do gasto público e de informações gerenciais</t>
  </si>
  <si>
    <t>1.1 O modelo de gestão da dívida está inadequado</t>
  </si>
  <si>
    <t>1.2 O sistema atual está obsoleto, monousuário e não permite  integração com osdemais sistemas, nem possibilita a construção de cenários</t>
  </si>
  <si>
    <t>1.1 Implantação de um novo modelo de gestão da dívida pública, mediante a revisão e adequação do modelo atual; a implantação de um sistema de apoio à gestão da dívida compatível com o S2GPR com vistas à integração, que contemple a gestão do risco, a construção de cenários e a geração de relatórios gerenciais; a aquisição de equipamentos e a capacitação dos usuários.</t>
  </si>
  <si>
    <t>1.1 As informações fornecidas para a contabilidade reduzem de xx para yy dias.</t>
  </si>
  <si>
    <t>1.2 O índice de capacidade de pagamento mantém-se abaixo em 11,5% da RCL.</t>
  </si>
  <si>
    <t>2.1 Modelo de gestão dos precatórios está inadequado, com alto risco de pagamento indevido e/ou em duplicidade</t>
  </si>
  <si>
    <t>2.2. Os procedimentos de controle são manuais.</t>
  </si>
  <si>
    <t>2.1 Implantação de um novo modelo de gestão de precatórios, mediante a revisão e adequação do modelo atual; a implantação de um sistema de apoio à gestão de precatórios compatível com o S2GPR com vistas à integração, que contemple as exigências legais, a construção de cenários e a geração de relatórios gerenciais; a aquisição de equipamentos e a capacitação dos usuários.</t>
  </si>
  <si>
    <t>2.1 100% das informações sobre os débitos com precatórios disponibilizadas on line.</t>
  </si>
  <si>
    <t>2.2 Pagamentos em duplicidade reduzidos a zero.</t>
  </si>
  <si>
    <t>3.1 Procedimentos inadequados e realizados de forma manual</t>
  </si>
  <si>
    <t>3.2 Dificuldade na obtenção de informação para cálculo e gerenciais</t>
  </si>
  <si>
    <t>3.1 Implantação de um novo modelo de gestão dos repasses para municípios, mediante, a revisão e adequação do modelo atual; a implantação de um sistema de apoio à gestão de repasses à municípios compatível com o S2GPR com vistas à obtenção de informação para cálculo e efetivação do repasse com a geração de relatórios gerenciais; a aquisição de equipamentos e a capacitação dos usuários.</t>
  </si>
  <si>
    <t>3.1 Diminuição do tempo de geração dos relatórios gerenciais de xx dias para on-line.</t>
  </si>
  <si>
    <t>4.1 Ausência do controle detalhado do volume de recursos das carteiras de crédito</t>
  </si>
  <si>
    <t>4.2 Indisponibilidade da informação sobre o estágio de cobrança</t>
  </si>
  <si>
    <t>4.3 Os procedimentos de controle são manuais</t>
  </si>
  <si>
    <t>4.1 Implantação de um modelo de gestão do ingresso de ativos, mediante a implantação de um sistema de apoio à gestão dos créditos cedidos compatível com o S2GPR com vistas à integração, que contemple as exigências legais, a previsão financeira de entrada de caixa e a geração de relatórios gerenciais; a aquisição de equipamentos e a capacitação dos usuários.</t>
  </si>
  <si>
    <t>4.1 100% dos contratos de crédito com segmentação identificada</t>
  </si>
  <si>
    <t>4.2 100% dos contratos com informações on line para efeito de negociação e fornecimento de informação para o fluxo de caixa.</t>
  </si>
  <si>
    <t>5.1 Entrada de dados da folha para efeitos de empenho no sistema de administração financeira e manual e é passível de erros de classificação e digitação</t>
  </si>
  <si>
    <t>5.1 Empenho automatizado do sistema de folha de pagamento do Estado com o sistema de administração financeira, mediante o desenvolvimento de uma interface que efetue a classificação automática das categorias de gasto e o empenho automático dos dados da folha no sistema de administração financeira.</t>
  </si>
  <si>
    <t>5.1 Redução do tempo do tempo para on-line</t>
  </si>
  <si>
    <t>5.2 Eliminação da possibilidade de erros na classificação e no lançamento dos dados</t>
  </si>
  <si>
    <t>1. Melhoría do planejamento e execução financeiro do Estado</t>
  </si>
  <si>
    <t>2. Incremento na liquidez de ativos públicos</t>
  </si>
  <si>
    <t>3. Melhor controle dos níveis de encargo da dívida pública</t>
  </si>
  <si>
    <t>Matriz de Problemas, Soluções e Resultados (PP)</t>
  </si>
  <si>
    <t>Matriz de Riscos (Inicial - POD)</t>
  </si>
  <si>
    <t>Marco de Resultados (Inicial - POD)</t>
  </si>
  <si>
    <t>Quadro de Indicadores (Inicial - POD)</t>
  </si>
  <si>
    <t>Marco de Resultados (Ajustado - LRR)</t>
  </si>
  <si>
    <t>Quadro de Indicadores (Ajustado - LRR)</t>
  </si>
  <si>
    <t xml:space="preserve">RISCO IDENTIFICADOS </t>
  </si>
  <si>
    <r>
      <t xml:space="preserve">R1.1 – </t>
    </r>
    <r>
      <rPr>
        <sz val="10"/>
        <rFont val="Calibri"/>
        <family val="2"/>
      </rPr>
      <t>Incorporação de novas tecnologias com maior agilidade e menor custo</t>
    </r>
  </si>
  <si>
    <r>
      <t>P2.1 -</t>
    </r>
    <r>
      <rPr>
        <sz val="10"/>
        <rFont val="Calibri"/>
        <family val="2"/>
      </rPr>
      <t xml:space="preserve"> Modelo de Gestão dos Postos Fiscais de Grande Porte com leitura de imagens de carga de veículos implantado</t>
    </r>
  </si>
  <si>
    <r>
      <t>R2.1 –</t>
    </r>
    <r>
      <rPr>
        <sz val="10"/>
        <rFont val="Calibri"/>
        <family val="2"/>
      </rPr>
      <t xml:space="preserve"> Incremento na arrecadação de ICMS proveniente do segmento de mercado varejista</t>
    </r>
  </si>
  <si>
    <r>
      <t xml:space="preserve">R2.2 – </t>
    </r>
    <r>
      <rPr>
        <sz val="10"/>
        <rFont val="Calibri"/>
        <family val="2"/>
      </rPr>
      <t>Aumento da Arrecadação de ICMS resultante da Automação dos Postos Fiscais</t>
    </r>
  </si>
  <si>
    <r>
      <t xml:space="preserve">R2.3 – </t>
    </r>
    <r>
      <rPr>
        <sz val="10"/>
        <rFont val="Calibri"/>
        <family val="2"/>
      </rPr>
      <t>Redução do tempo de espera nos postos fiscais</t>
    </r>
  </si>
  <si>
    <r>
      <t>P3.1</t>
    </r>
    <r>
      <rPr>
        <sz val="10"/>
        <rFont val="Calibri"/>
        <family val="2"/>
      </rPr>
      <t xml:space="preserve"> Cadastro estadual e cadastros da Receita Federal e da Junta Comercial do Estado do Ceará sincronizados</t>
    </r>
  </si>
  <si>
    <r>
      <t>P3.2</t>
    </r>
    <r>
      <rPr>
        <sz val="10"/>
        <rFont val="Calibri"/>
        <family val="2"/>
      </rPr>
      <t xml:space="preserve"> Nota fiscal eletrônica e escrituração fiscal digital implantados</t>
    </r>
  </si>
  <si>
    <r>
      <t>P3.3</t>
    </r>
    <r>
      <rPr>
        <sz val="10"/>
        <rFont val="Calibri"/>
        <family val="2"/>
      </rPr>
      <t xml:space="preserve"> Sistema Público de Escrituração digital – SPED Fiscal implantado</t>
    </r>
  </si>
  <si>
    <r>
      <t>P3.4</t>
    </r>
    <r>
      <rPr>
        <sz val="10"/>
        <rFont val="Calibri"/>
        <family val="2"/>
      </rPr>
      <t>. Sistema Público de Escrituração digital – SPED Contábil implantado</t>
    </r>
  </si>
  <si>
    <r>
      <t>R3.1</t>
    </r>
    <r>
      <rPr>
        <sz val="10"/>
        <rFont val="Calibri"/>
        <family val="2"/>
      </rPr>
      <t xml:space="preserve"> Redução do tempo de concessão da inscrição cadastral </t>
    </r>
  </si>
  <si>
    <r>
      <t>P4.1</t>
    </r>
    <r>
      <rPr>
        <sz val="10"/>
        <rFont val="Calibri"/>
        <family val="2"/>
      </rPr>
      <t>. Novo modelo de gestão da dívida pública implantada.</t>
    </r>
  </si>
  <si>
    <r>
      <t xml:space="preserve">R.4.1 </t>
    </r>
    <r>
      <rPr>
        <sz val="10"/>
        <rFont val="Calibri"/>
        <family val="2"/>
      </rPr>
      <t>Incremento na liquidez de ativos públicos</t>
    </r>
  </si>
  <si>
    <r>
      <t xml:space="preserve">P5.1 </t>
    </r>
    <r>
      <rPr>
        <sz val="10"/>
        <rFont val="Calibri"/>
        <family val="2"/>
      </rPr>
      <t>Serviço de Atendimento de Excelência ao Cidadão nas unidades fazendárias implantado</t>
    </r>
  </si>
  <si>
    <r>
      <t>R5.1 –</t>
    </r>
    <r>
      <rPr>
        <sz val="10"/>
        <rFont val="Calibri"/>
        <family val="2"/>
      </rPr>
      <t xml:space="preserve"> Aumento do índice de satisfação dos clientes nas unidades de atendimento presencial</t>
    </r>
  </si>
  <si>
    <r>
      <t>P6.1 -</t>
    </r>
    <r>
      <rPr>
        <sz val="10"/>
        <rFont val="Calibri"/>
        <family val="2"/>
      </rPr>
      <t xml:space="preserve"> Parque Tecnológico adequado aos processos fazendários</t>
    </r>
  </si>
  <si>
    <r>
      <t>P6.2 -</t>
    </r>
    <r>
      <rPr>
        <sz val="10"/>
        <rFont val="Calibri"/>
        <family val="2"/>
      </rPr>
      <t xml:space="preserve"> Modelo de negócio da área de TI da SEFAZ reestruturado</t>
    </r>
  </si>
  <si>
    <r>
      <t>P6.3 -</t>
    </r>
    <r>
      <rPr>
        <sz val="10"/>
        <rFont val="Calibri"/>
        <family val="2"/>
      </rPr>
      <t xml:space="preserve"> Sistema de Gerenciamento Eletrônico de Documentos – GED CONTA/RH implantado</t>
    </r>
  </si>
  <si>
    <r>
      <t>P6.4 -</t>
    </r>
    <r>
      <rPr>
        <sz val="10"/>
        <rFont val="Calibri"/>
        <family val="2"/>
      </rPr>
      <t xml:space="preserve"> Sistemática de Certificação Digital reconhecida pela Infra-estrutura de Chaves Públicas (ICP) Brasil implantada</t>
    </r>
  </si>
  <si>
    <r>
      <t xml:space="preserve">R6.1 - </t>
    </r>
    <r>
      <rPr>
        <sz val="10"/>
        <rFont val="Calibri"/>
        <family val="2"/>
      </rPr>
      <t xml:space="preserve">Validade jurídica assegurada para os documentos recebidos via Web </t>
    </r>
  </si>
  <si>
    <r>
      <t>P7.1</t>
    </r>
    <r>
      <rPr>
        <sz val="10"/>
        <rFont val="Calibri"/>
        <family val="2"/>
      </rPr>
      <t>Política de RH estabelecida e divulgada</t>
    </r>
  </si>
  <si>
    <r>
      <t xml:space="preserve">P7.2 </t>
    </r>
    <r>
      <rPr>
        <sz val="10"/>
        <rFont val="Calibri"/>
        <family val="2"/>
      </rPr>
      <t>Modelo de gestão de RH da SEFAZ automatizado</t>
    </r>
  </si>
  <si>
    <r>
      <t>P7.3 -</t>
    </r>
    <r>
      <rPr>
        <sz val="10"/>
        <rFont val="Calibri"/>
        <family val="2"/>
      </rPr>
      <t xml:space="preserve"> Modelo de avaliação gerencial desenvolvido e implantado</t>
    </r>
  </si>
  <si>
    <r>
      <t>P8.1 -</t>
    </r>
    <r>
      <rPr>
        <sz val="10"/>
        <rFont val="Calibri"/>
        <family val="2"/>
      </rPr>
      <t xml:space="preserve"> Programa de educação à distância implantado</t>
    </r>
  </si>
  <si>
    <r>
      <t xml:space="preserve">30 </t>
    </r>
    <r>
      <rPr>
        <sz val="10"/>
        <rFont val="Calibri"/>
        <family val="2"/>
      </rPr>
      <t>horas de EAD disponibilizadas para os servidores</t>
    </r>
  </si>
  <si>
    <r>
      <t>P8.2 -</t>
    </r>
    <r>
      <rPr>
        <sz val="10"/>
        <rFont val="Calibri"/>
        <family val="2"/>
      </rPr>
      <t xml:space="preserve"> Programa de educação continuada implantado</t>
    </r>
  </si>
  <si>
    <r>
      <t>R8.1</t>
    </r>
    <r>
      <rPr>
        <sz val="10"/>
        <rFont val="Calibri"/>
        <family val="2"/>
      </rPr>
      <t xml:space="preserve"> Ampliação do percentual de servidores do interior  treinados </t>
    </r>
  </si>
  <si>
    <t>18. Marco de Resultados (Ajustado LRR - Maio/2011)</t>
  </si>
  <si>
    <t>19. Quadro de Indicadores (Ajustado LRR - Maio/2011)</t>
  </si>
  <si>
    <r>
      <t>1.2</t>
    </r>
    <r>
      <rPr>
        <sz val="7"/>
        <rFont val="Calibri"/>
        <family val="2"/>
      </rPr>
      <t xml:space="preserve">  </t>
    </r>
    <r>
      <rPr>
        <sz val="12"/>
        <rFont val="Calibri"/>
        <family val="2"/>
      </rPr>
      <t>Falta de cultura disseminada para o monitoramento dos contribuintes;</t>
    </r>
  </si>
  <si>
    <r>
      <t>1.3</t>
    </r>
    <r>
      <rPr>
        <sz val="7"/>
        <rFont val="Calibri"/>
        <family val="2"/>
      </rPr>
      <t xml:space="preserve">  </t>
    </r>
    <r>
      <rPr>
        <sz val="12"/>
        <rFont val="Calibri"/>
        <family val="2"/>
      </rPr>
      <t>Planejamento inadequado da ação fiscal nas empresas;</t>
    </r>
  </si>
  <si>
    <r>
      <t>1.4</t>
    </r>
    <r>
      <rPr>
        <sz val="7"/>
        <rFont val="Calibri"/>
        <family val="2"/>
      </rPr>
      <t xml:space="preserve">  </t>
    </r>
    <r>
      <rPr>
        <sz val="12"/>
        <rFont val="Calibri"/>
        <family val="2"/>
      </rPr>
      <t>Inexistência de uma metodologia  científica para análise e acompanhamento dos contribuintes</t>
    </r>
  </si>
  <si>
    <t>14. Matriz de Problemas, Soluções e Resultados ( PP - Perfil do Projeto)</t>
  </si>
  <si>
    <r>
      <t>P1.1 -</t>
    </r>
    <r>
      <rPr>
        <sz val="10"/>
        <rFont val="Calibri"/>
        <family val="2"/>
      </rPr>
      <t xml:space="preserve"> Programa de Cooperação Interinstitucional Nacional e Internacional implantado</t>
    </r>
  </si>
  <si>
    <r>
      <t>P2.2 -</t>
    </r>
    <r>
      <rPr>
        <sz val="10"/>
        <rFont val="Calibri"/>
        <family val="2"/>
      </rPr>
      <t xml:space="preserve"> Sistemática de monitoramento das operações de emissão de cupons fiscais implantada</t>
    </r>
  </si>
  <si>
    <r>
      <t>P4.2</t>
    </r>
    <r>
      <rPr>
        <sz val="10"/>
        <rFont val="Calibri"/>
        <family val="2"/>
      </rPr>
      <t xml:space="preserve">  Modelo de gestão do ingresso de ativos implantado.</t>
    </r>
  </si>
  <si>
    <r>
      <t>R7.1</t>
    </r>
    <r>
      <rPr>
        <sz val="10"/>
        <rFont val="Calibri"/>
        <family val="2"/>
      </rPr>
      <t xml:space="preserve"> – Remanejamento de pessoal baseado nas competências requeridas para os cargos</t>
    </r>
  </si>
  <si>
    <t>16. Marco de Resultados (Inicial - POD)</t>
  </si>
  <si>
    <t>17. Quadro de Indicadores (Inicial - POD)</t>
  </si>
  <si>
    <t>Modelo de governança corporativa</t>
  </si>
  <si>
    <t xml:space="preserve">2 visitas técnicas e 1 seminário </t>
  </si>
  <si>
    <t xml:space="preserve">2 visitas técnicas </t>
  </si>
  <si>
    <t>2 visitas técnicas e 1 seminário</t>
  </si>
  <si>
    <t>2 visitas técnicas</t>
  </si>
  <si>
    <t>8 visitas técnicas e 2 seminários</t>
  </si>
  <si>
    <t>1 nova tecnologia</t>
  </si>
  <si>
    <t>5 postos fiscais médio porte/especial</t>
  </si>
  <si>
    <t>1 posto fiscal grande porte</t>
  </si>
  <si>
    <t>9 postos fiscais médio porte/especial</t>
  </si>
  <si>
    <t xml:space="preserve">40% de empresas </t>
  </si>
  <si>
    <t xml:space="preserve">68% de empresas </t>
  </si>
  <si>
    <t>4 novas unidades</t>
  </si>
  <si>
    <t>118.560 (4%) empresas registradas</t>
  </si>
  <si>
    <t>120.120 (8%) empresas registradas</t>
  </si>
  <si>
    <t xml:space="preserve"> 131.100 (15%) empresas registradas</t>
  </si>
  <si>
    <t xml:space="preserve"> 1.349.205 NF-e (5%)</t>
  </si>
  <si>
    <t>4.047.615 NF-e  (15%)</t>
  </si>
  <si>
    <t>13.492.051 NF-e (50%)</t>
  </si>
  <si>
    <t>40% das empresas</t>
  </si>
  <si>
    <t xml:space="preserve">100% das empresas </t>
  </si>
  <si>
    <t xml:space="preserve">22% das empresas </t>
  </si>
  <si>
    <t>30% das empresas</t>
  </si>
  <si>
    <t xml:space="preserve">35% das empresas </t>
  </si>
  <si>
    <t xml:space="preserve">40% das empresas </t>
  </si>
  <si>
    <t>378 tipos de transações web</t>
  </si>
  <si>
    <t>95% de satisfação</t>
  </si>
  <si>
    <t>86 horas/ano</t>
  </si>
  <si>
    <t>24 horas.</t>
  </si>
  <si>
    <t>80% dos processos digitalizados</t>
  </si>
  <si>
    <t>100% dos processos digitalizados</t>
  </si>
  <si>
    <t>100% dos aplicativos com certificados digitais</t>
  </si>
  <si>
    <t>40% dos documentos com validade jurídica assegurada</t>
  </si>
  <si>
    <t>60% dos documentos com validade jurídica assegurada</t>
  </si>
  <si>
    <t>100% dos documentos com validade jurídica assegurada</t>
  </si>
  <si>
    <t xml:space="preserve">6 novos tipos de consulta on line </t>
  </si>
  <si>
    <t xml:space="preserve">15 horas de EAD </t>
  </si>
  <si>
    <t>Número de Notas Fiscais Eletrônicas (NF-e) emitidas</t>
  </si>
  <si>
    <r>
      <t>Dificuldades:</t>
    </r>
    <r>
      <rPr>
        <sz val="11"/>
        <rFont val="Calibri"/>
        <family val="2"/>
      </rPr>
      <t xml:space="preserve"> Demora no processo licitatório para contratação de serviços especializados através de horas de serviço de desenvolvimento de sistemas (7.200 horas), para ser utilizadas na implementação de funcionalidades do projeto Sped, envolvendo seus diversos Módulos como Nota Fiscal Eletrônica, Escrituração Fiscal Digital, Escrituração Contábil Digital e Conhecimento de Transporte Eletrônico. A demora foi ocasionada por indagações referentes ao processo e recursos impetrados pelas empresas participantes do certame. Previsão de conclusão até </t>
    </r>
    <r>
      <rPr>
        <sz val="11"/>
        <color indexed="10"/>
        <rFont val="Calibri"/>
        <family val="2"/>
      </rPr>
      <t>Maio/2011</t>
    </r>
    <r>
      <rPr>
        <sz val="11"/>
        <rFont val="Calibri"/>
        <family val="2"/>
      </rPr>
      <t xml:space="preserve">
</t>
    </r>
  </si>
  <si>
    <r>
      <rPr>
        <sz val="11"/>
        <color indexed="10"/>
        <rFont val="Calibri"/>
        <family val="2"/>
      </rPr>
      <t>CONTRAPARTIDA. Produto financiado pelo PMAE/BNDES</t>
    </r>
    <r>
      <rPr>
        <sz val="11"/>
        <rFont val="Calibri"/>
        <family val="2"/>
      </rPr>
      <t>. 1) Receita Federal já implantou módulo para disponibilização de arquivos para o Estado;
2) Protocolo assinado</t>
    </r>
  </si>
  <si>
    <r>
      <rPr>
        <sz val="11"/>
        <color indexed="10"/>
        <rFont val="Calibri"/>
        <family val="2"/>
      </rPr>
      <t>CONTRAPARTIDA. Produto financiado pelo PMAE/BNDES</t>
    </r>
    <r>
      <rPr>
        <sz val="11"/>
        <rFont val="Calibri"/>
        <family val="2"/>
      </rPr>
      <t>. Os arquivos oriundos da Receita Federal estão sendo incorporados na base de dados da SEFAZ. Disponibilizada consultas para os usuários internos e externos.  Atualizados os bancos de dados para os trabalhos da fiscalização e decisão gerencial</t>
    </r>
  </si>
  <si>
    <t>1 escritório de projetos instalado</t>
  </si>
  <si>
    <t>Não existe escritório de projeto na SEFAZ</t>
  </si>
  <si>
    <t>0 tecnologias incorporadas</t>
  </si>
  <si>
    <t>0 visitas e seminários realizados</t>
  </si>
  <si>
    <t>1 escritório</t>
  </si>
  <si>
    <t>Produto incluído durante a preparação do LRR em razão das prioridades do Planejamento estratégico da SEFAZ para o período 2011 a 2014</t>
  </si>
  <si>
    <t>Política de RH divulgada para 100% dos servidores</t>
  </si>
  <si>
    <t>100% dos servidores participam de eventos de divulgação das políticas de RH</t>
  </si>
  <si>
    <t>A SEFAZ alertou que por diretriz de Governo este produto não se encontra mais sob sua gerência, e sim da SEPLAG, sendo esta a gerenciadora do processo de RH no âmbito do Estado. Tal decisão, ainda que oportuna, não indica previsão da conclusão de sua implantação, o que poderá prejudicar o cumprimento deste resultado, sendo que seu monitoramento deverá ser acompanhado com especial atenção pela UGP</t>
  </si>
  <si>
    <t>Pelo menos três opções de sucessores para cada cargo gerencial da SEFAZ (180 X 3 = 540)</t>
  </si>
  <si>
    <t>540 opções de sucessão disponíveis</t>
  </si>
  <si>
    <t>anual</t>
  </si>
  <si>
    <t>Relatório do Banco de Sucessores</t>
  </si>
  <si>
    <t>Número de opçòes de sucessores disponível no banco de sucessores da SEFAZ</t>
  </si>
  <si>
    <t>Sucessor</t>
  </si>
  <si>
    <t>Relatório do banco de sucessores</t>
  </si>
  <si>
    <t>Evento</t>
  </si>
  <si>
    <t>Número de opções de sucessores disponível no banco</t>
  </si>
  <si>
    <t>Número de servidores participantes do programa de desenvolvimento de equipes</t>
  </si>
  <si>
    <t>300 servidores</t>
  </si>
  <si>
    <t>300 servidores participantes do programa de desenvolvimento de equipes com perfil identificado</t>
  </si>
  <si>
    <t>Número de servidores participantes do programa de desenvolvimento de equipes com perfil identificado</t>
  </si>
  <si>
    <t>TOTAL DE SERVIDORES EM MAIO/2011=1.600</t>
  </si>
  <si>
    <t>TOTAL DE GERENTES EM MAIO/2011 = 180</t>
  </si>
  <si>
    <t>TOTAL DE SERVIDORES/TÉCNICOS PARTICIPANTES DO PROGRAMA DA DOM CABRAL</t>
  </si>
  <si>
    <t>Contratação da Fundação Dom Cabral/Programa de Desenvolvimento dos Gestores Públicos(180 gerentes - 6 turmas - 30 participantes cada) e Programa de Desenvolvimento dos Servidores Públicos (300 servidores-10 turmas-30 servidores cada)</t>
  </si>
  <si>
    <t>AJUDA MEMÓRIA MISSÃO ARRANQUE</t>
  </si>
  <si>
    <t>A solução de subscrição de softwares livres Red Hat  atendeu a diretriz de software livre od Estado e viabilizou a atualização tecnológica da SEFAZ.</t>
  </si>
  <si>
    <t xml:space="preserve">
</t>
  </si>
  <si>
    <r>
      <t xml:space="preserve">Consultoria contratada (Governança de TI) . </t>
    </r>
    <r>
      <rPr>
        <sz val="11"/>
        <color indexed="10"/>
        <rFont val="Calibri"/>
        <family val="2"/>
      </rPr>
      <t xml:space="preserve">Fases Concluídas: </t>
    </r>
    <r>
      <rPr>
        <sz val="11"/>
        <rFont val="Calibri"/>
        <family val="2"/>
      </rPr>
      <t xml:space="preserve">1) Planejamento e Divulgação Interna; 2) Implantada infraestrututra; 3) Aplicação de PCO e PSC; 4) Revisão do contexto organizaciobnal do setor de TIC; 5) Produto de gestão de RH da CAT/TIC.
</t>
    </r>
    <r>
      <rPr>
        <sz val="11"/>
        <color indexed="10"/>
        <rFont val="Calibri"/>
        <family val="2"/>
      </rPr>
      <t xml:space="preserve">Em Desenvolvimento: </t>
    </r>
    <r>
      <rPr>
        <sz val="11"/>
        <rFont val="Calibri"/>
        <family val="2"/>
      </rPr>
      <t xml:space="preserve">1) Processo de Implantação do Service Desk em fase de levantamento de requisitos. 2) Planejamento Estratégico do setor de TIC </t>
    </r>
  </si>
  <si>
    <t>A implantação de DATAMART (planejamento da arrecadação e fiscalização, setor financeiro, transfer6encias eletrônicas fiscais - TEF, Nf-e e SINTEGRA) possibilitou a dispobilização de dados para o usuário trabalhar seus dados e emitir seus próprios relatórios. Esta solução (BO - business object) faz extração de dados e reduz a obsolesc6encia dos equipamentos.</t>
  </si>
  <si>
    <t>Número de aplicativos corporativos da SEFAZ definidos pelo Plano Diretor de Certificação com certificação digital</t>
  </si>
  <si>
    <t>APROVADA EXCLUSÃO LRR</t>
  </si>
  <si>
    <t>100% dos aplicativos corporativos da SEFAZ, definidos pelo Plano Diretor de Certificação com certificação digital</t>
  </si>
  <si>
    <t>Número de oportunidades de capacitação oferecidas ao ano (inclusive pós-graduação)</t>
  </si>
  <si>
    <t>Subcomponente 2 COOPERAÇÃO INTERINSTITUCIONAL NACIONAL E INTERNACIONAL</t>
  </si>
  <si>
    <t>1 relatório on-line</t>
  </si>
  <si>
    <t>Número de contratos de crédito oriundos da federalização do BEC com informações disponibilizadas on-line / Número total de contratos de crédito oriundos da federalização do BEC.</t>
  </si>
  <si>
    <t>100% dos créditos</t>
  </si>
  <si>
    <t>APROVADA EXCLUSÃO NO LRR</t>
  </si>
  <si>
    <t>Relatório do fluxo de entrada do SEFAZ.net, web-service e outros</t>
  </si>
  <si>
    <r>
      <t xml:space="preserve">Anual </t>
    </r>
    <r>
      <rPr>
        <sz val="12"/>
        <color indexed="10"/>
        <rFont val="Calibri"/>
        <family val="2"/>
      </rPr>
      <t>(O % alcançado diz respeito aos documentos recebidos do SPED, cuja certificação é obrigatória)</t>
    </r>
  </si>
  <si>
    <t>Número de documentos recebidos via Web com validade jurídica assegurada  (Obrigatórios-SPED)/ Número total de documentos recebidos via Web</t>
  </si>
  <si>
    <t>Garantir alinhamento entre a Governança de TI (em execução) e a governança corporativa (a ser iniciado)</t>
  </si>
  <si>
    <t>Sandra Machado</t>
  </si>
  <si>
    <t>NAO DEVE CONSTAR DO MR/PMR</t>
  </si>
  <si>
    <t>PRODUTO NOVO INCLUÍDO NO LRR/MR/PMR</t>
  </si>
  <si>
    <t>Aperfeiçoamento organizacional e da gestão estratégica</t>
  </si>
  <si>
    <t>Subcomponente 1 APERFEIÇOAMENTO ORGANIZACIONAL E DA GESTÃO ESTRATÉGICA</t>
  </si>
  <si>
    <t>Escritório de projeto implantado</t>
  </si>
  <si>
    <t>Escritório de projeto</t>
  </si>
  <si>
    <t>Relatório de Progresso</t>
  </si>
  <si>
    <t>semestral</t>
  </si>
  <si>
    <t>evento</t>
  </si>
  <si>
    <t>Não incluídas as despesas de contrapartida (extra-projeto)</t>
  </si>
  <si>
    <t>UCP</t>
  </si>
  <si>
    <t>Registrar despesas nos relatórios financeiros e no RP a partir de 2011</t>
  </si>
  <si>
    <t>2.1 
(2.1+2.5)</t>
  </si>
  <si>
    <t>Número de postos fiscais de grande porte e móvel com leitura de imagens de carga de veículos</t>
  </si>
  <si>
    <t>Número de postos fiscais de grande porte e posto móvelcom leitura de imagens de carga de veículos</t>
  </si>
  <si>
    <t>visita In-loco</t>
  </si>
  <si>
    <t xml:space="preserve">2.2
(2.2+2.3+2.4) 
</t>
  </si>
  <si>
    <t xml:space="preserve">Número de empresas com chips instalados nos equipamentos de ECF / Total de empresas que possuem equipamentos ECF </t>
  </si>
  <si>
    <t>EXCLUSÃO DO PRODUTO</t>
  </si>
  <si>
    <t>1 unidade de inteligência fiscal</t>
  </si>
  <si>
    <t>0 gerentes avaliados em 2007 e inexiste banco de sucessores</t>
  </si>
  <si>
    <t>150 gerentes avaliados e 1 banco de sucessor disponível</t>
  </si>
  <si>
    <t>Avaliar, anualmente,  100% dos gerentes (150 gerentes) e disponibilizar banco de sucessores</t>
  </si>
  <si>
    <t>Subcomponente 3 MELHORIA DA EFICIÊNCIA E EFICÁCIA DA ADMINISTRAÇÃO TRIBUTÁRIA</t>
  </si>
  <si>
    <t>Subcomponente 4 APERFEIÇOAMENTO DA GESTÃO DO CADASTRO E IMPLANTAÇÃO DO SISTEMA PÚBLICO DE ESCRITURAÇÃO DIGITAL</t>
  </si>
  <si>
    <t>Subcomponente 5 MELHORIA DA EFICIÊNCIA E DA EFICÁCIA DA ADMINISTRAÇÃO FINANCEIRA</t>
  </si>
  <si>
    <t>1 sistema  “on-line”</t>
  </si>
  <si>
    <t>Subcomponente 6 APERFEIÇOAMENTO DOS MECANISMOS DE TRANSPARÊNCIA E COMUNICAÇÃO COM A SOCIEDADE</t>
  </si>
  <si>
    <t xml:space="preserve">Novo produto incluído no Projeto, em razão das diretrizes do Planejamento Estratégico da SEFAZ para o período 2011-2014 </t>
  </si>
  <si>
    <t>Sem alteração</t>
  </si>
  <si>
    <t>1 relatório “on-line”</t>
  </si>
  <si>
    <t>Medida da meta ajustada para  "relatório on-line"</t>
  </si>
  <si>
    <t>Relatórios "on-line" da capacidade de endividamento e de pagamento</t>
  </si>
  <si>
    <t>Nenhuma informação sobre capacidade de envidamento e pagamento é disponibilizada em tempo real</t>
  </si>
  <si>
    <t>Servidores desconhecem a políticas de RH</t>
  </si>
  <si>
    <t>Meta e indicador ajustados para enfatizar a disseminação da política junto aso servidores e não apenas sua formulação.</t>
  </si>
  <si>
    <t>Indicador ajustado para incluir a implantação do Banco de Sucessor, diretamente vinculado ao resultado proposto para o subcomponente</t>
  </si>
  <si>
    <t xml:space="preserve">Produto constante do PAI, incluído no PMR e MR </t>
  </si>
  <si>
    <t>Resultado alterado para garantir consistência com os produtos desenvolvidos no subcomponente, dentro da governabilidade do projeto</t>
  </si>
  <si>
    <t>Contratações e aquisições</t>
  </si>
  <si>
    <t>Enfrentamento de ações administrativas e judiciais</t>
  </si>
  <si>
    <t>Desenho</t>
  </si>
  <si>
    <t xml:space="preserve">A inclusão no projeto de produtos cujas soluções, especialmente na área de tecnologia, ainda não plenamente amadurecidas impedem sua descrição e especificação para fins de contratação, dentro do prazo de execução do projeto. </t>
  </si>
  <si>
    <t>A troca de informações e visitas a outros adquirentes antes do lançamento do edital, a realização de audiências públicas, as consultas a entidades regulamentadoras de setores e profissões, propiciam uma base sólida para análise e defesa de recursos adminisitrativos e demandas judiciais</t>
  </si>
  <si>
    <t>Amadurecimento de soluções</t>
  </si>
  <si>
    <t>Aspectos financeiros</t>
  </si>
  <si>
    <t>Modalidade de desembolso</t>
  </si>
  <si>
    <t>A liquidez financeira do Estado permitiu a opção pela modalidade de desembolso "reembolso de gastos", facilitando os procedimentos contábeis e de monitoramento dos fluxos financeiros.</t>
  </si>
  <si>
    <t>Monitoramento da execução</t>
  </si>
  <si>
    <t>Desempenho do BID</t>
  </si>
  <si>
    <t>As visitas de supervisão da equipe do Banco fortalecem a competência da unidade de coordenação na parte relacionada com interação com os líderes dos projetos para monitoramento conjunto dos indicadores do projeto.</t>
  </si>
  <si>
    <t>Desempenho da SEFAZ</t>
  </si>
  <si>
    <t>A participação nas reuniões trimestrais da COGEF, favorece a troca de informações com os demais Estados, a aprendizagem conjunta e o desenvolvimento de ações coordenadas.</t>
  </si>
  <si>
    <t>O compartilhamento de TdR e editais de licitação por meio do Portal da Rede COGEF e a adesão a Ata de Registro de Preços, agiliza e potencializa custos transacionais nas aquisições.</t>
  </si>
  <si>
    <t>Formulação de requisitos técnicos e execução compartilhada de processos de aquisições</t>
  </si>
  <si>
    <t>Intercâmbio de experiências e ação coordenada com outros projetos</t>
  </si>
  <si>
    <r>
      <t>P1.1 -</t>
    </r>
    <r>
      <rPr>
        <sz val="10"/>
        <color indexed="8"/>
        <rFont val="Calibri"/>
        <family val="2"/>
      </rPr>
      <t xml:space="preserve"> Modelo de governança corporativa implantado</t>
    </r>
  </si>
  <si>
    <r>
      <t xml:space="preserve">R1.1 – </t>
    </r>
    <r>
      <rPr>
        <sz val="10"/>
        <color indexed="8"/>
        <rFont val="Calibri"/>
        <family val="2"/>
      </rPr>
      <t>Incorporação de novas tecnologias com maior agilidade e menor custo</t>
    </r>
  </si>
  <si>
    <r>
      <t>P3.1 -</t>
    </r>
    <r>
      <rPr>
        <sz val="10"/>
        <color indexed="8"/>
        <rFont val="Calibri"/>
        <family val="2"/>
      </rPr>
      <t xml:space="preserve"> Modelo de Gestão dos Postos Fiscais de Grande Porte com leitura de imagens de carga de veículos implantado</t>
    </r>
  </si>
  <si>
    <t>2 postos fiscais grande porte e unidade móvel</t>
  </si>
  <si>
    <t>4 Postos fiscais de grande porte e 1 unidade móvel com leitura de imagens de carga de veículos</t>
  </si>
  <si>
    <t>Unidade móvel (scanner) incluído como meta do produto</t>
  </si>
  <si>
    <r>
      <t>P3.2 -</t>
    </r>
    <r>
      <rPr>
        <sz val="10"/>
        <color indexed="8"/>
        <rFont val="Calibri"/>
        <family val="2"/>
      </rPr>
      <t xml:space="preserve"> Modelo de Gestão dos  Postos Fiscais de Médio e Pequeno Porte, dos Especiais e da Região Metropolitana com novo modelo de gestão e/ou leitura de imagens de carga de veículos implantado</t>
    </r>
  </si>
  <si>
    <t>0 Postos fiscais deste tipo com os referidos requisitos implantado</t>
  </si>
  <si>
    <t>Produto excluído, uma vez que a tecnologia necessária a sua implantação  ainda está em desenvolvimento no mercado sem prazo de conclusão.</t>
  </si>
  <si>
    <r>
      <t>P3.3 -</t>
    </r>
    <r>
      <rPr>
        <sz val="10"/>
        <color indexed="8"/>
        <rFont val="Calibri"/>
        <family val="2"/>
      </rPr>
      <t xml:space="preserve"> Novas unidades de apoio a fiscalização instaladas: (a) Central de gerenciamento eletrônico de documentos e imagens; (b) Centro Integrado de Operações Fiscais; (c) Centro de Comando e Controle de ações de fiscalização; (d) Centro de Inteligência Fiscal.</t>
    </r>
  </si>
  <si>
    <r>
      <t>R3.1 –</t>
    </r>
    <r>
      <rPr>
        <sz val="10"/>
        <color indexed="8"/>
        <rFont val="Calibri"/>
        <family val="2"/>
      </rPr>
      <t xml:space="preserve"> Incremento na arrecadação de ICMS proveniente do segmento de mercado varejista</t>
    </r>
  </si>
  <si>
    <r>
      <t xml:space="preserve">R3.2 – </t>
    </r>
    <r>
      <rPr>
        <sz val="10"/>
        <color indexed="8"/>
        <rFont val="Calibri"/>
        <family val="2"/>
      </rPr>
      <t>Aumento da Arrecadação de ICMS resultante da Automação dos Postos Fiscais</t>
    </r>
  </si>
  <si>
    <r>
      <t xml:space="preserve">R3.3 – </t>
    </r>
    <r>
      <rPr>
        <sz val="10"/>
        <color indexed="8"/>
        <rFont val="Calibri"/>
        <family val="2"/>
      </rPr>
      <t>Redução do tempo de espera nos postos fiscais</t>
    </r>
  </si>
  <si>
    <r>
      <t>P4.1</t>
    </r>
    <r>
      <rPr>
        <sz val="10"/>
        <color indexed="8"/>
        <rFont val="Calibri"/>
        <family val="2"/>
      </rPr>
      <t xml:space="preserve"> Cadastro estadual e cadastros da Receita Federal e da Junta Comercial do Estado do Ceará sincronizados</t>
    </r>
  </si>
  <si>
    <r>
      <t>P4.2</t>
    </r>
    <r>
      <rPr>
        <sz val="10"/>
        <color indexed="8"/>
        <rFont val="Calibri"/>
        <family val="2"/>
      </rPr>
      <t xml:space="preserve"> Nota fiscal eletrônica e escrituração fiscal digital implantados</t>
    </r>
  </si>
  <si>
    <r>
      <t>P4.3</t>
    </r>
    <r>
      <rPr>
        <sz val="10"/>
        <color indexed="8"/>
        <rFont val="Calibri"/>
        <family val="2"/>
      </rPr>
      <t xml:space="preserve"> Sistema Público de Escrituração digital – SPED Fiscal implantado</t>
    </r>
  </si>
  <si>
    <r>
      <t>P3.4</t>
    </r>
    <r>
      <rPr>
        <sz val="10"/>
        <color indexed="8"/>
        <rFont val="Calibri"/>
        <family val="2"/>
      </rPr>
      <t>. Sistema Público de Escrituração digital – SPED Contábil implantado</t>
    </r>
  </si>
  <si>
    <r>
      <t>R4.1</t>
    </r>
    <r>
      <rPr>
        <sz val="10"/>
        <color indexed="8"/>
        <rFont val="Calibri"/>
        <family val="2"/>
      </rPr>
      <t xml:space="preserve"> Redução do tempo de concessão da inscrição cadastral </t>
    </r>
  </si>
  <si>
    <r>
      <t>P5.1</t>
    </r>
    <r>
      <rPr>
        <sz val="10"/>
        <color indexed="8"/>
        <rFont val="Calibri"/>
        <family val="2"/>
      </rPr>
      <t>. Novo modelo de gestão da dívida pública implantada.</t>
    </r>
  </si>
  <si>
    <r>
      <t>P5.2</t>
    </r>
    <r>
      <rPr>
        <sz val="10"/>
        <color indexed="8"/>
        <rFont val="Calibri"/>
        <family val="2"/>
      </rPr>
      <t xml:space="preserve">  Modelo de gestão do ingresso de ativos implantado. </t>
    </r>
  </si>
  <si>
    <r>
      <t xml:space="preserve">P5.3 - </t>
    </r>
    <r>
      <rPr>
        <sz val="10"/>
        <color indexed="8"/>
        <rFont val="Calibri"/>
        <family val="2"/>
      </rPr>
      <t>Novo modelo de gestão de precatórios implantado</t>
    </r>
  </si>
  <si>
    <r>
      <t xml:space="preserve">R.5.1 </t>
    </r>
    <r>
      <rPr>
        <sz val="10"/>
        <color indexed="8"/>
        <rFont val="Calibri"/>
        <family val="2"/>
      </rPr>
      <t>Incremento na liquidez de ativos públicos</t>
    </r>
  </si>
  <si>
    <r>
      <t xml:space="preserve">P6.1 </t>
    </r>
    <r>
      <rPr>
        <sz val="10"/>
        <color indexed="8"/>
        <rFont val="Calibri"/>
        <family val="2"/>
      </rPr>
      <t>Serviço de Atendimento de Excelência ao Cidadão nas unidades fazendárias implantado</t>
    </r>
  </si>
  <si>
    <r>
      <t>R6.1 –</t>
    </r>
    <r>
      <rPr>
        <sz val="10"/>
        <color indexed="8"/>
        <rFont val="Calibri"/>
        <family val="2"/>
      </rPr>
      <t xml:space="preserve"> Aumento do índice de satisfação dos clientes nas unidades de atendimento presencial</t>
    </r>
  </si>
  <si>
    <r>
      <t>P7.1 -</t>
    </r>
    <r>
      <rPr>
        <sz val="10"/>
        <color indexed="8"/>
        <rFont val="Calibri"/>
        <family val="2"/>
      </rPr>
      <t xml:space="preserve"> Parque Tecnológico adequado aos processos fazendários</t>
    </r>
  </si>
  <si>
    <t>Subcomponente 7 MODERNIZAÇÃO DA GESTÃO E APERFEIÇOAMENTO DOS SERVIÇOS DE TECNOLOGIA DA INFORMAÇÃO E COMUNICAÇÃO</t>
  </si>
  <si>
    <r>
      <t>P7.2 -</t>
    </r>
    <r>
      <rPr>
        <sz val="10"/>
        <color indexed="8"/>
        <rFont val="Calibri"/>
        <family val="2"/>
      </rPr>
      <t xml:space="preserve"> Modelo de negócio da área de TI da SEFAZ reestruturado</t>
    </r>
  </si>
  <si>
    <t>Produto excluído do projeto uma vez que foi desenvolvido antes da assinatura do contrato com recursos próprios, não será oferecido como contrapartida e não interfere nos resultados do componente.</t>
  </si>
  <si>
    <r>
      <t>P7.3 -</t>
    </r>
    <r>
      <rPr>
        <sz val="10"/>
        <color indexed="8"/>
        <rFont val="Calibri"/>
        <family val="2"/>
      </rPr>
      <t xml:space="preserve"> Sistemática de Certificação Digital reconhecida pela Infraestrutura de Chaves Públicas (ICP) Brasil implantada</t>
    </r>
  </si>
  <si>
    <t>Indicador ajustado, considerando as novas diretrizes sobre certificação digital oriundas do Plano Diretor de Certificação Digital</t>
  </si>
  <si>
    <r>
      <t xml:space="preserve">R7.1 - </t>
    </r>
    <r>
      <rPr>
        <sz val="10"/>
        <color indexed="8"/>
        <rFont val="Calibri"/>
        <family val="2"/>
      </rPr>
      <t>Validade jurídica assegurada para os documentos (obrigatórios-SPED) recebidos via Web</t>
    </r>
  </si>
  <si>
    <t>Indicador ajustado para enfatizar a obrigatoriedade relativa aos documentos do SPED</t>
  </si>
  <si>
    <r>
      <t>P8.1</t>
    </r>
    <r>
      <rPr>
        <sz val="10"/>
        <color indexed="8"/>
        <rFont val="Calibri"/>
        <family val="2"/>
      </rPr>
      <t>Política de RH estabelecida e divulgada</t>
    </r>
  </si>
  <si>
    <t>Subcomponente 8 APERFEIÇOAMENTO DA GESTÃO DE RECURSOS HUMANOS</t>
  </si>
  <si>
    <r>
      <t xml:space="preserve">P8.2 </t>
    </r>
    <r>
      <rPr>
        <sz val="10"/>
        <color indexed="8"/>
        <rFont val="Calibri"/>
        <family val="2"/>
      </rPr>
      <t>Modelo de gestão de RH da SEFAZ automatizado</t>
    </r>
  </si>
  <si>
    <r>
      <t>P8.3 -</t>
    </r>
    <r>
      <rPr>
        <sz val="10"/>
        <color indexed="8"/>
        <rFont val="Calibri"/>
        <family val="2"/>
      </rPr>
      <t xml:space="preserve"> Modelo de avaliação gerencial desenvolvido e implantado</t>
    </r>
  </si>
  <si>
    <r>
      <t>P8.4 -</t>
    </r>
    <r>
      <rPr>
        <sz val="10"/>
        <color indexed="8"/>
        <rFont val="Calibri"/>
        <family val="2"/>
      </rPr>
      <t xml:space="preserve"> Perfis profissionais com base nas competências organizacionais identificados</t>
    </r>
  </si>
  <si>
    <r>
      <t>R8.1</t>
    </r>
    <r>
      <rPr>
        <sz val="10"/>
        <color indexed="8"/>
        <rFont val="Calibri"/>
        <family val="2"/>
      </rPr>
      <t xml:space="preserve"> –  Banco de sucessores disponível para suprimentos de cargos gerenciais</t>
    </r>
  </si>
  <si>
    <t>Inexistência de opções de sucessão para os diversos cargos</t>
  </si>
  <si>
    <r>
      <t>P9.1 -</t>
    </r>
    <r>
      <rPr>
        <sz val="10"/>
        <color indexed="8"/>
        <rFont val="Calibri"/>
        <family val="2"/>
      </rPr>
      <t xml:space="preserve"> Programa de educação à distância implantado</t>
    </r>
  </si>
  <si>
    <r>
      <t xml:space="preserve">30 </t>
    </r>
    <r>
      <rPr>
        <sz val="10"/>
        <color indexed="8"/>
        <rFont val="Calibri"/>
        <family val="2"/>
      </rPr>
      <t xml:space="preserve">horas de EAD </t>
    </r>
  </si>
  <si>
    <t>Subcomponente 9 FORTALECIMENTO DA GESTÃO DO CONHECIMENTO</t>
  </si>
  <si>
    <r>
      <t>P9.2 -</t>
    </r>
    <r>
      <rPr>
        <sz val="10"/>
        <color indexed="8"/>
        <rFont val="Calibri"/>
        <family val="2"/>
      </rPr>
      <t xml:space="preserve"> Programa de educação continuada implantado</t>
    </r>
  </si>
  <si>
    <r>
      <t>R9.1</t>
    </r>
    <r>
      <rPr>
        <sz val="10"/>
        <color indexed="8"/>
        <rFont val="Calibri"/>
        <family val="2"/>
      </rPr>
      <t xml:space="preserve"> Ampliação do percentual de servidores do interior  treinados </t>
    </r>
  </si>
  <si>
    <t xml:space="preserve">Ana Lúcia Dezolt (FMM/CBR) - Chefe de Equipe; Fernando Glasman (PDP/CBR); Carlos Lago (PDP/CBR); Adriana Sobral (FMM/CBR); Luciana Pimentel (Consultora) </t>
  </si>
  <si>
    <t>Sandra  Machado (Coordenadora Geral); Sonia Sisnando (Coordenadora Técnica); Marcos Saraiva (Coordenador Administrativo Financeiro).</t>
  </si>
  <si>
    <t>02 até 05/Maio/2011</t>
  </si>
  <si>
    <r>
      <rPr>
        <b/>
        <sz val="11"/>
        <color indexed="10"/>
        <rFont val="Calibri"/>
        <family val="2"/>
      </rPr>
      <t>Sistema Contábil-Financeiro do Projeto:</t>
    </r>
    <r>
      <rPr>
        <sz val="11"/>
        <rFont val="Calibri"/>
        <family val="2"/>
      </rPr>
      <t xml:space="preserve"> Sistema PROFISCO implantado em 2009 como extrator de dados do sistema integrado de contabilidade do Estado (SIC). Última revisão do BID em 04/Maio/2011.</t>
    </r>
  </si>
  <si>
    <t>O Especialista financeiro (Fernando Glasman) registrou recomendações na Ajuda memória da Missão.</t>
  </si>
  <si>
    <t xml:space="preserve">1. Formatação de novo relatório demonstrando, por exercício, as aquisições no grupo de despesa 44 para conciliação com o relatório demonstrativo de ativos adquiridos (Informações Financeiras Complementares 6.02 (E).
2. </t>
  </si>
  <si>
    <t>3. Internalização dos reembolsos imediatamente após a disponibilização dos recursos em dólares pelo BID, para, assim, minimizar variações cambiais</t>
  </si>
  <si>
    <t>Marcos Saraiva</t>
  </si>
  <si>
    <t>Paulo Sergio</t>
  </si>
  <si>
    <t>2. Elaboração de cronograma de desembolsos do PROFISCO para o exercício de 2011</t>
  </si>
  <si>
    <t>continuo</t>
  </si>
  <si>
    <t>Imediata</t>
  </si>
  <si>
    <r>
      <t xml:space="preserve">Auditoria do Projeto: </t>
    </r>
    <r>
      <rPr>
        <sz val="11"/>
        <rFont val="Calibri"/>
        <family val="2"/>
      </rPr>
      <t>contrato com a empresa KPMG auditores associados firmado em 05/Maio/2011.</t>
    </r>
  </si>
  <si>
    <t>Identificar pontos de convergência de serviços para atendimento pelo contrato de governança de TI das necessidades da governança  corporativa</t>
  </si>
  <si>
    <t>Marco de Resultados</t>
  </si>
  <si>
    <t>Produto</t>
  </si>
  <si>
    <t>Chefe de Equipe de Projeto</t>
  </si>
  <si>
    <t>Coordenador do Projeto</t>
  </si>
  <si>
    <t>Contribui para o alcance dos resutlados do projeto, em especial na articulação com o produto de governança de TI</t>
  </si>
  <si>
    <t>AJUDA MEMÓRIA DA MISSÃO DE INSPEÇÃO E PREPARAÇÀO DO LRR</t>
  </si>
  <si>
    <t>Orçamento do Projeto</t>
  </si>
  <si>
    <t>Financeiro</t>
  </si>
  <si>
    <t>Representante</t>
  </si>
  <si>
    <t>Legal/Garantidor</t>
  </si>
  <si>
    <t>A UGP encaminhará à SEAIN/MP e ao Banco solicitação de transferência dos recursos financeiros alocados em “Imprevistos”</t>
  </si>
  <si>
    <t>Estes recursos serão alocados no desenvolvimento do novo produto</t>
  </si>
  <si>
    <r>
      <rPr>
        <b/>
        <sz val="11"/>
        <rFont val="Calibri"/>
        <family val="2"/>
      </rPr>
      <t>Modelo de governança corporativa implantado</t>
    </r>
    <r>
      <rPr>
        <sz val="11"/>
        <rFont val="Calibri"/>
        <family val="2"/>
      </rPr>
      <t xml:space="preserve">. Novo produto incluído no Projeto, em razão das diretrizes do Planejamento Estratégico da SEFAZ para o período 2011-2014 </t>
    </r>
  </si>
  <si>
    <t>Foram realizadas visitas técnicas (COGEF e Estados-AC e RR) e seminários (Integração dos Fiscos em Cooperação com a RFB)</t>
  </si>
  <si>
    <t>O RP enviado em Fev/2010 não registrou os avanços deste produto</t>
  </si>
  <si>
    <r>
      <rPr>
        <sz val="11"/>
        <color indexed="10"/>
        <rFont val="Calibri"/>
        <family val="2"/>
      </rPr>
      <t>Equipamentos (scanners)</t>
    </r>
    <r>
      <rPr>
        <sz val="11"/>
        <rFont val="Calibri"/>
        <family val="2"/>
      </rPr>
      <t xml:space="preserve"> para os 4 postos  e 1 posto móvel: Contrato assinado e publicado no DOE de 3/1/2011. Ordem de Serviço emitida em 5/1/2011.
</t>
    </r>
    <r>
      <rPr>
        <sz val="11"/>
        <color indexed="10"/>
        <rFont val="Calibri"/>
        <family val="2"/>
      </rPr>
      <t>Sistema de Pesagem Dinâmica de Veículos de Cargas</t>
    </r>
    <r>
      <rPr>
        <sz val="11"/>
        <rFont val="Calibri"/>
        <family val="2"/>
      </rPr>
      <t xml:space="preserve">: obtida autorização para adesão ao registro de preço da SEFAZ/PA e solicitada  não objeção para ampliação do quantitativo.
</t>
    </r>
    <r>
      <rPr>
        <sz val="11"/>
        <color indexed="10"/>
        <rFont val="Calibri"/>
        <family val="2"/>
      </rPr>
      <t>Estrutura física  (recursos extra projeto)</t>
    </r>
    <r>
      <rPr>
        <sz val="11"/>
        <rFont val="Calibri"/>
        <family val="2"/>
      </rPr>
      <t xml:space="preserve">: Tianguá-84%; Penaforte-29,09%; Crato-3,09%; Aracati-últimas desapropriação.
</t>
    </r>
  </si>
  <si>
    <t>O RP enviado em Fev/2010 não registrou a inclusão do scanner móvel como parte deste produto</t>
  </si>
  <si>
    <t>Ampliação das ações que contribuirão para o incremento da arrecadação (Resultado 3 – Aumento da Arrecadação de ICMS resultante da automação dos Postos Fiscais)</t>
  </si>
  <si>
    <r>
      <rPr>
        <b/>
        <sz val="11"/>
        <color indexed="10"/>
        <rFont val="Calibri"/>
        <family val="2"/>
      </rPr>
      <t>Dificuldades:</t>
    </r>
    <r>
      <rPr>
        <sz val="11"/>
        <color indexed="10"/>
        <rFont val="Calibri"/>
        <family val="2"/>
      </rPr>
      <t xml:space="preserve"> </t>
    </r>
    <r>
      <rPr>
        <sz val="11"/>
        <rFont val="Calibri"/>
        <family val="2"/>
      </rPr>
      <t>demora no andamento dos projetos obras de infraestrutura física impediram o alcance das metas pre4vistas para 2010.</t>
    </r>
  </si>
  <si>
    <r>
      <rPr>
        <b/>
        <sz val="11"/>
        <rFont val="Calibri"/>
        <family val="2"/>
      </rPr>
      <t xml:space="preserve">Modelo de Gestão dos  Postos Fiscais de Médio e Pequeno Porte, dos Especiais e da Região Metropolitana com novo modelo de gestão e/ou leitura de imagens de carga de veículos implantado. </t>
    </r>
    <r>
      <rPr>
        <sz val="11"/>
        <rFont val="Calibri"/>
        <family val="2"/>
      </rPr>
      <t>Produto constante do PAI, incluído no PMR e MR</t>
    </r>
  </si>
  <si>
    <t>Monitoramento dos produtos signficativos para o alcance dos resultados e para fechamento do valor global do projeto.</t>
  </si>
  <si>
    <r>
      <t xml:space="preserve">Sistemática de monitoramento das operações de emissão de cupons fiscais implantada. </t>
    </r>
    <r>
      <rPr>
        <sz val="11"/>
        <rFont val="Calibri"/>
        <family val="2"/>
      </rPr>
      <t>Produto excluído, uma vez que a tecnologia necessária a sua implantação  ainda está em desenvolvimento no mercado sem prazo de conclusão</t>
    </r>
  </si>
  <si>
    <t>Exclusão do produto não impacta nos resultados do componente.</t>
  </si>
  <si>
    <t>Produto excluído do projeto no PAI (sem recursos alocados)</t>
  </si>
  <si>
    <t>Modelo de Gestão dos Postos Fiscais de Grande Porte e de unidades móveis com leitura de imagens de carga de veículos implantado</t>
  </si>
  <si>
    <r>
      <rPr>
        <b/>
        <sz val="11"/>
        <rFont val="Calibri"/>
        <family val="2"/>
      </rPr>
      <t xml:space="preserve">Modelo de Gestão dos Postos Fiscais de Grande Porte e de unidades móveis com leitura de imagens de carga de veículos implantado. </t>
    </r>
    <r>
      <rPr>
        <sz val="11"/>
        <rFont val="Calibri"/>
        <family val="2"/>
      </rPr>
      <t>Unidade móvel (scanner) incluído como meta do produto</t>
    </r>
  </si>
  <si>
    <r>
      <rPr>
        <b/>
        <sz val="11"/>
        <color indexed="10"/>
        <rFont val="Calibri"/>
        <family val="2"/>
      </rPr>
      <t>Equipamentos e materiais de apoio operacional:</t>
    </r>
    <r>
      <rPr>
        <sz val="11"/>
        <rFont val="Calibri"/>
        <family val="2"/>
      </rPr>
      <t xml:space="preserve">
</t>
    </r>
    <r>
      <rPr>
        <b/>
        <sz val="11"/>
        <color indexed="10"/>
        <rFont val="Calibri"/>
        <family val="2"/>
      </rPr>
      <t>Infraestrutura física</t>
    </r>
    <r>
      <rPr>
        <sz val="11"/>
        <rFont val="Calibri"/>
        <family val="2"/>
      </rPr>
      <t xml:space="preserve">: projeto elaborado (Ipaumirim) e projetos em elaboração (Campos Sales e Parambu) e ainda não iniciados. Priorizados os postos com maior volume de operações e maior deficiência da estrutura.
</t>
    </r>
  </si>
  <si>
    <r>
      <rPr>
        <b/>
        <sz val="11"/>
        <color indexed="10"/>
        <rFont val="Calibri"/>
        <family val="2"/>
      </rPr>
      <t>Equipamentos e materiais de apoio operacional:</t>
    </r>
    <r>
      <rPr>
        <sz val="11"/>
        <rFont val="Calibri"/>
        <family val="2"/>
      </rPr>
      <t xml:space="preserve">
</t>
    </r>
    <r>
      <rPr>
        <b/>
        <sz val="11"/>
        <color indexed="10"/>
        <rFont val="Calibri"/>
        <family val="2"/>
      </rPr>
      <t>Infraestrutura física</t>
    </r>
    <r>
      <rPr>
        <sz val="11"/>
        <rFont val="Calibri"/>
        <family val="2"/>
      </rPr>
      <t xml:space="preserve">: Edson Ramalho com obra iniciada e Gabriel Lopes Jardim ainda sem projeto, em razão de duplicação de rodovia. Nos demais postos será implantada apenas solução tecnológica.
</t>
    </r>
  </si>
  <si>
    <r>
      <rPr>
        <b/>
        <sz val="11"/>
        <color indexed="10"/>
        <rFont val="Calibri"/>
        <family val="2"/>
      </rPr>
      <t>Equipamentos e materiais de apoio operacional:</t>
    </r>
    <r>
      <rPr>
        <sz val="11"/>
        <color indexed="8"/>
        <rFont val="Calibri"/>
        <family val="2"/>
      </rPr>
      <t xml:space="preserve">
</t>
    </r>
    <r>
      <rPr>
        <b/>
        <sz val="11"/>
        <color indexed="10"/>
        <rFont val="Calibri"/>
        <family val="2"/>
      </rPr>
      <t>Infraestrutura física</t>
    </r>
    <r>
      <rPr>
        <sz val="11"/>
        <color indexed="8"/>
        <rFont val="Calibri"/>
        <family val="2"/>
      </rPr>
      <t>: Posto fiscal do aeroporto projeto elaborado, em fase de licitação. Demais não necessitam de reforma de infraestrutura.</t>
    </r>
    <r>
      <rPr>
        <sz val="11"/>
        <rFont val="Calibri"/>
        <family val="2"/>
      </rPr>
      <t xml:space="preserve">
</t>
    </r>
  </si>
  <si>
    <r>
      <rPr>
        <b/>
        <sz val="11"/>
        <color indexed="10"/>
        <rFont val="Calibri"/>
        <family val="2"/>
      </rPr>
      <t>Tecnologia e equipamentos de apoio operacional</t>
    </r>
    <r>
      <rPr>
        <sz val="11"/>
        <rFont val="Calibri"/>
        <family val="2"/>
      </rPr>
      <t xml:space="preserve">: Edital em elaboração.
</t>
    </r>
  </si>
  <si>
    <r>
      <rPr>
        <b/>
        <sz val="11"/>
        <color indexed="10"/>
        <rFont val="Calibri"/>
        <family val="2"/>
      </rPr>
      <t>Tecnologia e equipamentos de apoio operacional</t>
    </r>
    <r>
      <rPr>
        <sz val="11"/>
        <rFont val="Calibri"/>
        <family val="2"/>
      </rPr>
      <t xml:space="preserve">: Edital em elaboração.
</t>
    </r>
    <r>
      <rPr>
        <b/>
        <sz val="11"/>
        <rFont val="Calibri"/>
        <family val="2"/>
      </rPr>
      <t>Estrutura física</t>
    </r>
    <r>
      <rPr>
        <sz val="11"/>
        <rFont val="Calibri"/>
        <family val="2"/>
      </rPr>
      <t xml:space="preserve"> em execução (100% - extra projeto).</t>
    </r>
  </si>
  <si>
    <r>
      <t xml:space="preserve">Tecnologia e equipamentos de apoio operacional: </t>
    </r>
    <r>
      <rPr>
        <b/>
        <sz val="11"/>
        <rFont val="Calibri"/>
        <family val="2"/>
      </rPr>
      <t>Edital em elaboração.
Estrutura física em execução (100% - extra projeto).</t>
    </r>
  </si>
  <si>
    <r>
      <rPr>
        <b/>
        <sz val="11"/>
        <color indexed="10"/>
        <rFont val="Calibri"/>
        <family val="2"/>
      </rPr>
      <t xml:space="preserve">Tecnologia e equipamentos de apoio operacional: </t>
    </r>
    <r>
      <rPr>
        <sz val="11"/>
        <rFont val="Calibri"/>
        <family val="2"/>
      </rPr>
      <t>Edital em elaboração.
Estrutura física em execução (100% - extra projeto).</t>
    </r>
  </si>
  <si>
    <t>2.3 (2.7+2.8+2.9+2.10)</t>
  </si>
  <si>
    <r>
      <t xml:space="preserve">Novas unidades de apoio a fiscalização instaladas: (a) Central de gerenciamento eletrônico de documentos e imagens; (b) Centro Integrado de Operações Fiscais; (c) Centro de Comando e Controle de ações de fiscalização; (d) Centro de Inteligência Fiscal.  </t>
    </r>
    <r>
      <rPr>
        <sz val="11"/>
        <rFont val="Calibri"/>
        <family val="2"/>
      </rPr>
      <t xml:space="preserve">Produto constante do PAI, incluído no PMR e MR </t>
    </r>
  </si>
  <si>
    <t xml:space="preserve">O RP enviado em Fev/2010 não registrou os avanços deste produto. Situação de 30/04/2011 </t>
  </si>
  <si>
    <r>
      <rPr>
        <sz val="11"/>
        <color indexed="10"/>
        <rFont val="Calibri"/>
        <family val="2"/>
      </rPr>
      <t>CONTRAPARTIDA. Produto financiado pelo PMAE/BNDES</t>
    </r>
    <r>
      <rPr>
        <sz val="11"/>
        <rFont val="Calibri"/>
        <family val="2"/>
      </rPr>
      <t>. A meta proposta para 2010 foi superada.</t>
    </r>
  </si>
  <si>
    <r>
      <rPr>
        <sz val="11"/>
        <color indexed="10"/>
        <rFont val="Calibri"/>
        <family val="2"/>
      </rPr>
      <t xml:space="preserve">CONTRAPARTIDA. </t>
    </r>
    <r>
      <rPr>
        <sz val="11"/>
        <color indexed="10"/>
        <rFont val="Calibri"/>
        <family val="2"/>
      </rPr>
      <t xml:space="preserve">Produto financiado pelo PMAE/BNDES. </t>
    </r>
    <r>
      <rPr>
        <sz val="11"/>
        <rFont val="Calibri"/>
        <family val="2"/>
      </rPr>
      <t>Em andamento com cumprimento de todo o cronograma nacional (CONFAZ). Os resultados alcançados por este produto são muito superiores as previsões em razão da adesão em massa dos grandes contribuintes  (Ex. Indústrai de cigarros, bebidas, automotivas, farmaceuticas e mercado atacadista). 
2) Em fase de integração com o Sistema Informatizado de Gestão Tributária - SIGET, testes iniciais: fevereiro/2011. previsão de conclusão maio/2011</t>
    </r>
  </si>
  <si>
    <t>Monitorar o processo de aquisição (PGE E Jurídico SEFAZ)</t>
  </si>
  <si>
    <t>Sirlei Nunes</t>
  </si>
  <si>
    <t>Ajuste da unidade de medida do indicador</t>
  </si>
  <si>
    <t>Novo modelo de gestão da dívida pública implantado.</t>
  </si>
  <si>
    <t>RECURSOS HUMANOS DA SEFAZ</t>
  </si>
  <si>
    <r>
      <rPr>
        <b/>
        <sz val="11"/>
        <color indexed="10"/>
        <rFont val="Calibri"/>
        <family val="2"/>
      </rPr>
      <t>Execução com recursos humanos da SEFAZ</t>
    </r>
    <r>
      <rPr>
        <sz val="11"/>
        <rFont val="Calibri"/>
        <family val="2"/>
      </rPr>
      <t>. Desenvolvimento o módulo de relatórios exigidos pela legislação. Em fase de homologação, previsão para entrar em produção 30/Junho/2011.</t>
    </r>
  </si>
  <si>
    <t>Outros</t>
  </si>
  <si>
    <r>
      <rPr>
        <b/>
        <sz val="11"/>
        <rFont val="Calibri"/>
        <family val="2"/>
      </rPr>
      <t>Novo modelo de gestão da dívida pública implantada.</t>
    </r>
    <r>
      <rPr>
        <sz val="11"/>
        <rFont val="Calibri"/>
        <family val="2"/>
      </rPr>
      <t xml:space="preserve"> Medida da meta ajustada para  "1 relatório on-line"</t>
    </r>
  </si>
  <si>
    <t>Monitoramento quantitativo do produto.</t>
  </si>
  <si>
    <r>
      <t xml:space="preserve">Concluído o levantamento de requisitos, análise e prototipação do sistema de gestão dos créditos do extinto BEC.
</t>
    </r>
    <r>
      <rPr>
        <sz val="11"/>
        <color indexed="10"/>
        <rFont val="Calibri"/>
        <family val="2"/>
      </rPr>
      <t>Elaboração de novo TdR para desenvolvimento e implantação da solução.</t>
    </r>
  </si>
  <si>
    <r>
      <rPr>
        <b/>
        <sz val="11"/>
        <rFont val="Calibri"/>
        <family val="2"/>
      </rPr>
      <t>Modelo de gestão do ingresso de ativos implantado</t>
    </r>
    <r>
      <rPr>
        <sz val="11"/>
        <rFont val="Calibri"/>
        <family val="2"/>
      </rPr>
      <t>. Ajuste do indicador para enfatizar o controle de 100% dos créditos e não apenas o sistema, ampliando a consistência com o resultado proposto para o subcomponente, com adiamento do prazo de conclusão.</t>
    </r>
  </si>
  <si>
    <t xml:space="preserve">Processo de licitação deverá ser reiniciado uma vez que as empresas não atenderam alguns  requisitos técnicos.
</t>
  </si>
  <si>
    <t xml:space="preserve">Novo TdR poderá alcançar todo o processo: levantamento de requisitos, análise,  desenvolvimento e implantação </t>
  </si>
  <si>
    <t>Relançamento da manifestação de interesse</t>
  </si>
  <si>
    <t>Mário</t>
  </si>
  <si>
    <r>
      <t xml:space="preserve">Novo modelo de gestão de precatórios implantado. </t>
    </r>
    <r>
      <rPr>
        <sz val="11"/>
        <rFont val="Calibri"/>
        <family val="2"/>
      </rPr>
      <t xml:space="preserve">Produto constante do PAI, incluído no PMR e MR </t>
    </r>
  </si>
  <si>
    <t xml:space="preserve">Sistema de folha de pagamento e sistema de administração financeira do Estado integrados. </t>
  </si>
  <si>
    <r>
      <rPr>
        <sz val="11"/>
        <color indexed="10"/>
        <rFont val="Calibri"/>
        <family val="2"/>
      </rPr>
      <t xml:space="preserve">Produto de responsabilidade da SEPLAG e excluído do projeto (constava apenas do PAI). </t>
    </r>
    <r>
      <rPr>
        <sz val="11"/>
        <rFont val="Calibri"/>
        <family val="2"/>
      </rPr>
      <t>Redefinido o foco inicial do projeto, priorizando o módulo de contabilidade. A empresa responsável (ORG SOCIAL) pela contratação das 5 empresas para desenvolvimento do sistema concluiu o processo em Março/2010.</t>
    </r>
  </si>
  <si>
    <r>
      <rPr>
        <b/>
        <sz val="11"/>
        <color indexed="10"/>
        <rFont val="Calibri"/>
        <family val="2"/>
      </rPr>
      <t>Modelo de atendimento:</t>
    </r>
    <r>
      <rPr>
        <sz val="11"/>
        <rFont val="Calibri"/>
        <family val="2"/>
      </rPr>
      <t xml:space="preserve"> identificados os macroprocessos (entrada de mercadorias, alteração de selo fiscal, cadastro, alteração e baixa de empresas, parcelamento de débitos, restituição de tributos, consultas tributárias, sua nota vale dinheiro e call center.
</t>
    </r>
    <r>
      <rPr>
        <sz val="11"/>
        <color indexed="10"/>
        <rFont val="Calibri"/>
        <family val="2"/>
      </rPr>
      <t>Equipamentos de auto-atendimento e solução de gestã</t>
    </r>
    <r>
      <rPr>
        <sz val="11"/>
        <rFont val="Calibri"/>
        <family val="2"/>
      </rPr>
      <t xml:space="preserve">o: TDR em elaboração.
</t>
    </r>
    <r>
      <rPr>
        <b/>
        <sz val="11"/>
        <color indexed="10"/>
        <rFont val="Calibri"/>
        <family val="2"/>
      </rPr>
      <t xml:space="preserve">Infraestrutura física </t>
    </r>
    <r>
      <rPr>
        <sz val="11"/>
        <rFont val="Calibri"/>
        <family val="2"/>
      </rPr>
      <t xml:space="preserve">(extra projeto): 7 projetos em execução dos quais 2 com obras não iniciadas. 9 aguardando definição de recursos do tesouro
</t>
    </r>
    <r>
      <rPr>
        <sz val="11"/>
        <color indexed="10"/>
        <rFont val="Calibri"/>
        <family val="2"/>
      </rPr>
      <t>Novos serviços via web e resultados:</t>
    </r>
    <r>
      <rPr>
        <sz val="11"/>
        <rFont val="Calibri"/>
        <family val="2"/>
      </rPr>
      <t xml:space="preserve"> (i) cadastro de veículos novos (90%); (ii) nota fiscal avulsa (39,5%); (iii) registro de guia de ITCD; (iv) pedidos de parcelamento do IPVA; (v) credenciamento de contribuintes referente a antecipação do ICMS (7.856 solicitações); (vi) NF-e (18.000 contribuintes); (vii) autorização utilização AFC (5.000 autorizações); (viii) sua nota vale dinheiro; (ix) alterações cadastrais.</t>
    </r>
  </si>
  <si>
    <r>
      <t xml:space="preserve">Dificuldades:
</t>
    </r>
    <r>
      <rPr>
        <sz val="11"/>
        <rFont val="Calibri"/>
        <family val="2"/>
      </rPr>
      <t>ALCANCE DA META FÍSICA: Insuficência dos recursos iniciais impossibilitaram a contratação da solução de gestão de demanda dos serviços.</t>
    </r>
  </si>
  <si>
    <r>
      <t xml:space="preserve">Institucionalizar o Planejamento Estratégico de TIC, alinhado ao Planejamento Estratégico da SEFAZ e Definir prioridades de acordo com metas estratégicas
</t>
    </r>
    <r>
      <rPr>
        <sz val="11"/>
        <color indexed="10"/>
        <rFont val="Calibri"/>
        <family val="2"/>
      </rPr>
      <t>Aquisição da solução ou por meio de aditivo ao contrato de governança de TI ou por outra forma de contratação.  No caso de opção pelo aditivo, deverá ser contemplado o novo produto incluído no componente 1: governança corporativa, em especial para atendimento a instalação do escritório de projeto</t>
    </r>
  </si>
  <si>
    <r>
      <t xml:space="preserve">Equipe do Projeto de Governança de TIC e ADINS
</t>
    </r>
    <r>
      <rPr>
        <sz val="11"/>
        <color indexed="10"/>
        <rFont val="Calibri"/>
        <family val="2"/>
      </rPr>
      <t>Pedro Peixoto</t>
    </r>
  </si>
  <si>
    <r>
      <t xml:space="preserve">Até 30/12/2011
</t>
    </r>
    <r>
      <rPr>
        <sz val="11"/>
        <color indexed="10"/>
        <rFont val="Calibri"/>
        <family val="2"/>
      </rPr>
      <t>Maio/2011</t>
    </r>
  </si>
  <si>
    <t xml:space="preserve">Elaborada proposta do comitê (pendente de apresentação ao comite executivo da SEFAZ)
Aguardando o fechamento do planejamento estratégico institucional 
</t>
  </si>
  <si>
    <t>Produto excluído</t>
  </si>
  <si>
    <t xml:space="preserve">3.1 (2.1+2.5)
</t>
  </si>
  <si>
    <t>3.2
(2.2+2.3+2.4)</t>
  </si>
  <si>
    <t>3.3
(2.3+2.4 + 2.5 + 2.6)</t>
  </si>
  <si>
    <t>4.4</t>
  </si>
  <si>
    <t>5.2</t>
  </si>
  <si>
    <t>5.3</t>
  </si>
  <si>
    <t>7.1
(6.1+6.3)</t>
  </si>
  <si>
    <r>
      <t xml:space="preserve">Sistema de Gerenciamento Eletrônico de Documentos – GED CONTA/RH implantado. </t>
    </r>
    <r>
      <rPr>
        <sz val="11"/>
        <rFont val="Calibri"/>
        <family val="2"/>
      </rPr>
      <t>Produto excluído do projeto uma vez que foi desenvolvido antes da assinatura do contrato com recursos próprios, não será oferecido como contrapartida e não interfere nos resultados do componente.</t>
    </r>
  </si>
  <si>
    <r>
      <t xml:space="preserve">Produto dividido em 2 partes:  (1) elaboração do Plano diretor de certificação digital - produto integralmente desenvolvido; (ii) implantação do Plano Diretor - falta executar  a capacitação.
</t>
    </r>
    <r>
      <rPr>
        <sz val="11"/>
        <color indexed="10"/>
        <rFont val="Calibri"/>
        <family val="2"/>
      </rPr>
      <t xml:space="preserve">Aquisição 750 certificados digitais e tokens realizada. </t>
    </r>
  </si>
  <si>
    <r>
      <rPr>
        <b/>
        <sz val="11"/>
        <rFont val="Calibri"/>
        <family val="2"/>
      </rPr>
      <t>Sistemática de Certificação Digital reconhecida pela Infraestrutura de Chaves Públicas (ICP) Brasil implantada</t>
    </r>
    <r>
      <rPr>
        <sz val="11"/>
        <rFont val="Calibri"/>
        <family val="2"/>
      </rPr>
      <t>. Indicador ajustado, considerando as novas diretrizes sobre certificação digital oriundas do Plano Diretor de Certificação Digital</t>
    </r>
  </si>
  <si>
    <t>Ampliação da consistência com o resultado proposto para o Componente</t>
  </si>
  <si>
    <r>
      <rPr>
        <b/>
        <sz val="11"/>
        <rFont val="Calibri"/>
        <family val="2"/>
      </rPr>
      <t>Validade jurídica assegurada para os documentos (obrigatórios-SPED) recebidos via Web</t>
    </r>
    <r>
      <rPr>
        <sz val="11"/>
        <rFont val="Calibri"/>
        <family val="2"/>
      </rPr>
      <t>. Indicador ajustado para enfatizar a obrigatoriedade relativa aos documentos do SPED</t>
    </r>
  </si>
  <si>
    <t>Ressaltado o alcance do resultado proposto, por meio da limitação do escopo da meta.</t>
  </si>
  <si>
    <r>
      <rPr>
        <b/>
        <sz val="11"/>
        <rFont val="Calibri"/>
        <family val="2"/>
      </rPr>
      <t>Política de RH estabelecida e divulgada</t>
    </r>
    <r>
      <rPr>
        <sz val="11"/>
        <rFont val="Calibri"/>
        <family val="2"/>
      </rPr>
      <t>. Meta e indicador ajustados para enfatizar a disseminação da política junto aso servidores e não apenas sua formulação</t>
    </r>
  </si>
  <si>
    <r>
      <t xml:space="preserve">Políticas já definidas e aprovadas pelo Comitê Executivo da SEFAZ.  
</t>
    </r>
    <r>
      <rPr>
        <sz val="11"/>
        <color indexed="10"/>
        <rFont val="Calibri"/>
        <family val="2"/>
      </rPr>
      <t>Meta de divulgação junto aos servidores programada para 2012.</t>
    </r>
  </si>
  <si>
    <t>A SEFAZ solicitou a SEPLAG autorização para adesão a ata de Registro de Preço da licitação realizada pela PRODERJ.  
FONTE: Contrapartida (extra-projeto)</t>
  </si>
  <si>
    <t>Não incluído como contrapartida (extra-projeto)</t>
  </si>
  <si>
    <t>8.3
(7.3+7.5)</t>
  </si>
  <si>
    <t>8.4</t>
  </si>
  <si>
    <r>
      <rPr>
        <b/>
        <sz val="11"/>
        <rFont val="Calibri"/>
        <family val="2"/>
      </rPr>
      <t>Modelo de avaliação gerencial desenvolvido e implantado</t>
    </r>
    <r>
      <rPr>
        <sz val="11"/>
        <rFont val="Calibri"/>
        <family val="2"/>
      </rPr>
      <t>. Indicador ajustado para incluir a implantação do Banco de Sucessor, diretamente vinculado ao resultado proposto para o Componente</t>
    </r>
  </si>
  <si>
    <t>Meta para 2012</t>
  </si>
  <si>
    <t>Modelo de avaliação desenhado e testado com 30 gestores (piloto). Modelo desenvolvido internamente. 
Meta para 2012.</t>
  </si>
  <si>
    <r>
      <t xml:space="preserve">Realização 1a etapa - competências corporativas, das unidades e dos gerentes. 
</t>
    </r>
    <r>
      <rPr>
        <b/>
        <sz val="11"/>
        <color indexed="10"/>
        <rFont val="Calibri"/>
        <family val="2"/>
      </rPr>
      <t>Foco do produto:</t>
    </r>
    <r>
      <rPr>
        <sz val="11"/>
        <rFont val="Calibri"/>
        <family val="2"/>
      </rPr>
      <t xml:space="preserve"> redirecionado para um projeto piloto com os servidores participantes do programa de desenvolvimento de equipes contratado com a Fundação dom Cabral
</t>
    </r>
  </si>
  <si>
    <r>
      <rPr>
        <b/>
        <sz val="11"/>
        <rFont val="Calibri"/>
        <family val="2"/>
      </rPr>
      <t>Perfis profissionais com base nas competências organizacionais identificados</t>
    </r>
    <r>
      <rPr>
        <sz val="11"/>
        <rFont val="Calibri"/>
        <family val="2"/>
      </rPr>
      <t xml:space="preserve">. Produto constante do PAI, incluído no PMR e MR </t>
    </r>
  </si>
  <si>
    <t>9.1</t>
  </si>
  <si>
    <t>9.2</t>
  </si>
  <si>
    <t>TdR está em reformulação dentro de nova modalidade e conceitos.</t>
  </si>
  <si>
    <r>
      <rPr>
        <b/>
        <sz val="11"/>
        <rFont val="Calibri"/>
        <family val="2"/>
      </rPr>
      <t>Banco de sucessores disponível para suprimentos de cargos gerenciais</t>
    </r>
    <r>
      <rPr>
        <sz val="11"/>
        <rFont val="Calibri"/>
        <family val="2"/>
      </rPr>
      <t>. Resultado alterado para garantir consistência com os produtos desenvolvidos no subcomponente, dentro da governabilidade do projeto</t>
    </r>
  </si>
  <si>
    <t>Ajuste do indicador para enfatizar o controle de 100% dos créditos e não apenas o sistema, ampliando a consistência com o resultado proposto para o subcomponente, com adiamento do prazo de conclusão.</t>
  </si>
  <si>
    <t>2.5</t>
  </si>
  <si>
    <t>2.6</t>
  </si>
  <si>
    <t>2.7</t>
  </si>
  <si>
    <t>4.5</t>
  </si>
  <si>
    <t>4.6</t>
  </si>
  <si>
    <t>4.7</t>
  </si>
  <si>
    <t>4.8</t>
  </si>
  <si>
    <t>4.9</t>
  </si>
  <si>
    <t>4.10</t>
  </si>
  <si>
    <t>Resultado 1 – Incorporação de novas tecnologias com maior agilidade e menor custo</t>
  </si>
  <si>
    <t>Resultado 2 – Incremento na arrecadação de ICMS proveniente do segmento de mercado varejista</t>
  </si>
  <si>
    <t>Resultado 3 – Aumento da Arrecadação de ICMS resultante da automação dos Postos Fiscais</t>
  </si>
  <si>
    <t>Resultado 4 – Redução do tempo de espera nos postos fiscais</t>
  </si>
  <si>
    <t xml:space="preserve">Resultado 5 - Redução do tempo de concessão da inscrição cadastral </t>
  </si>
  <si>
    <t>Resultado 6 - Incremento na liquidez de ativos públicos</t>
  </si>
  <si>
    <t>Resultado 7 – Aumento do índice de satisfação dos clientes nas unidades de atendimento presencial</t>
  </si>
  <si>
    <t xml:space="preserve">Resultado 8 - Validade jurídica assegurada para os documentos recebidos via Web </t>
  </si>
  <si>
    <t>Resultado 9 – Banco de sucessores disponível para suprimentos de cargos gerenciais</t>
  </si>
  <si>
    <t xml:space="preserve">Resultado 10 - Ampliação do percentual de servidores do interior  treinados </t>
  </si>
  <si>
    <t>PRODUTOS MONITORADOS (TOTAL = 22)</t>
  </si>
  <si>
    <t>APROVADA EXCLUSÃO - LRR</t>
  </si>
  <si>
    <t>FIDUCIÁRIO</t>
  </si>
  <si>
    <t>SUSTENTABILIDADE</t>
  </si>
  <si>
    <t>REPUTAÇÃO</t>
  </si>
  <si>
    <t>AMBIENTAL E SOCIAL</t>
  </si>
  <si>
    <t>MONITORAMENTO E PRESTAÇÃO DE CONTAS</t>
  </si>
  <si>
    <t>Novas demandas judiciais: (i) julgamento do mérito pelo TCE; (ii) reabertura do processo no âmbito da Justiça Estadual (6a Vara)</t>
  </si>
  <si>
    <t>Incapacidade da empresa contratada de comprovar, dentro do prazo, sua idoneidade (aguardando julgamento do mérito do processo do DEPEN DO MJ)</t>
  </si>
  <si>
    <t>Baixa capacidade de operação e manutenção pelo contratado: (i) insuficiência de peças de reposição; (ii) capacidade tecnica dos operadores.</t>
  </si>
  <si>
    <t>Baixa capacidade de dar continuidade a operação e manutenção pela SEFAZ, após o encerramento do contrato com o consórcio: (i) insuficiência de peças de reposição; (ii) capacidade tecnica dos operadores.</t>
  </si>
  <si>
    <t>Paralizaçãos de equipamentos</t>
  </si>
  <si>
    <t>Não cumprimento dos condicionantes ambientais ou alteração das normas ambientais para operação dos postos</t>
  </si>
  <si>
    <t>Insuficiência de informações para cumprimento de cláusulas contratuais e de relatórios de performance do projeto</t>
  </si>
  <si>
    <t>MÉDIO</t>
  </si>
  <si>
    <t>ALTO</t>
  </si>
  <si>
    <t>BAIXO</t>
  </si>
  <si>
    <t>Acompanhamento jurídico PGE</t>
  </si>
  <si>
    <t>Comissão especial de licitação acompanha processos no âmbito deste certame</t>
  </si>
  <si>
    <t>n/a</t>
  </si>
  <si>
    <t>contínua</t>
  </si>
  <si>
    <t>Fernando Granjeiro</t>
  </si>
  <si>
    <t>Agencia Executora</t>
  </si>
  <si>
    <t>100% das demandas legais respondidas no tempo hábil</t>
  </si>
  <si>
    <t>Cada evento</t>
  </si>
  <si>
    <t>Acompanhamento jurídico SEFAZ</t>
  </si>
  <si>
    <t>Consultas no site do TJ/CE
Informações judiciais fornecidas pelo representante legal do consórcio contratado</t>
  </si>
  <si>
    <t>Helena Teixeira</t>
  </si>
  <si>
    <t>Encaminhamento ao Banco da documentação sobre a idoneidade da contratada</t>
  </si>
  <si>
    <t>Solicitação pela SEFAZ para que ao representante legal do consórcio contratado apresente documentação sobre o processo de inidoneidade</t>
  </si>
  <si>
    <t>Secretário da Fazenda</t>
  </si>
  <si>
    <t>Confirmação pelo Banco de recebimento da documentação</t>
  </si>
  <si>
    <t>Envio da documentação pelo representante legal do consórcio contratado sobre o processo de inidoneidade</t>
  </si>
  <si>
    <t>Representante legal consórcio contratado</t>
  </si>
  <si>
    <t>Confirmação pelo SEFAZ de recebimento da documentação</t>
  </si>
  <si>
    <t>Parecer da SEFAZ sobre o processo e documentação recebida</t>
  </si>
  <si>
    <t>1. Melhoria da eficiência e eficácia da administração tributária - Modelo de Gestão dos Postos Fiscais de Grande Porte com leitura de imagens de carga de veículos implantado</t>
  </si>
  <si>
    <t>2. Melhoria da eficiência e eficácia da administração tributária - Modelo de Gestão dos Postos Fiscais de Grande Porte com leitura de imagens de carga de veículos implantado</t>
  </si>
  <si>
    <t>3. Melhoria da eficiência e eficácia da administração tributária - Modelo de Gestão dos Postos Fiscais de Grande Porte com leitura de imagens de carga de veículos implantado</t>
  </si>
  <si>
    <t>4. Melhoria da eficiência e eficácia da administração tributária - Modelo de Gestão dos Postos Fiscais de Grande Porte com leitura de imagens de carga de veículos implantado</t>
  </si>
  <si>
    <t>5. Melhoria da eficiência e eficácia da administração tributária - Modelo de Gestão dos Postos Fiscais de Grande Porte com leitura de imagens de carga de veículos implantado</t>
  </si>
  <si>
    <t>Monitoramento contínuo do contrato com aplicação imediata de penalidades previstas, sempre que necessário</t>
  </si>
  <si>
    <t>Acompanhamento da execução pelo gestor do contrato na SEFAZ</t>
  </si>
  <si>
    <t>Atestados de recebimento de serviços para realização dos pagamentos</t>
  </si>
  <si>
    <t>mensal</t>
  </si>
  <si>
    <t>Contratação em tempo hábil da prestaçào de serviços de operação e manutenção</t>
  </si>
  <si>
    <t xml:space="preserve">Identificar soluções para a operação dos equipamentos
</t>
  </si>
  <si>
    <t>1o semestre de 2013</t>
  </si>
  <si>
    <t>TdR para contratação</t>
  </si>
  <si>
    <t>Identifcar alternativas para reposição de peças</t>
  </si>
  <si>
    <t>Especificação técnica</t>
  </si>
  <si>
    <t>Contratação dos serviços</t>
  </si>
  <si>
    <t>Recursos orçamentários (custeio)</t>
  </si>
  <si>
    <t>2o semestre de 2013</t>
  </si>
  <si>
    <t>2o semestre de 2014</t>
  </si>
  <si>
    <t>Contrato assinado</t>
  </si>
  <si>
    <t>6. Melhoria da eficiência e eficácia da administração tributária - Modelo de Gestão dos Postos Fiscais de Grande Porte com leitura de imagens de carga de veículos implantado</t>
  </si>
  <si>
    <t>7. ADMINISTRAÇÃO - Monitoramento e avaliação</t>
  </si>
  <si>
    <t>Estratégia de comunicação</t>
  </si>
  <si>
    <t>Divulgação continua na mídia de informações relacionadas com a operação dos equipamentos e resultados</t>
  </si>
  <si>
    <t>Fernanda Teles</t>
  </si>
  <si>
    <t>Notícias e informações publicadas</t>
  </si>
  <si>
    <t>Avanço</t>
  </si>
  <si>
    <t xml:space="preserve">EXECUÇÃO FINANCEIRA </t>
  </si>
  <si>
    <t>PLANO FINANCEIRO (CONFORME CRONOGRAMA DESEMBOLSO 2011)</t>
  </si>
  <si>
    <t>EXECUÇÃO FINANCEIRA</t>
  </si>
  <si>
    <t>ADMINISTRAÇÃO FINANCEIRA, PATRIMONIAL E CONTROLE INTERNO/Melhoria da eficiência e da eficácia da administração financeira/ Modelo de gestão do ingresso de ativos implantado.</t>
  </si>
  <si>
    <t>Levantamento de requisitos, análise e prototipação do sistema de gestão dos créditos do extinto BEC</t>
  </si>
  <si>
    <t>15. Matriz de Riscos (Inicial/Missão de Análise - POD)</t>
  </si>
  <si>
    <t>C1.Sb1.P1.1</t>
  </si>
  <si>
    <t>C1.Sb2.P1.1a</t>
  </si>
  <si>
    <t>C1.Sb2.P1.1b</t>
  </si>
  <si>
    <r>
      <t>P2.1 -</t>
    </r>
    <r>
      <rPr>
        <sz val="10"/>
        <color indexed="8"/>
        <rFont val="Calibri"/>
        <family val="2"/>
      </rPr>
      <t xml:space="preserve"> Programa de Cooperação Interinstitucional Nacional e Internacional implantado</t>
    </r>
  </si>
  <si>
    <t>C1.R1.1</t>
  </si>
  <si>
    <t>C2.R2.1</t>
  </si>
  <si>
    <t>C2.R2.2</t>
  </si>
  <si>
    <t>C2.R2.3</t>
  </si>
  <si>
    <t>C2.Sb4.P4.1</t>
  </si>
  <si>
    <t>C2.Sb4.P4.2</t>
  </si>
  <si>
    <t>C2.Sb4.P4.3</t>
  </si>
  <si>
    <t>C2.Sb4.P4.4</t>
  </si>
  <si>
    <t>C2.R4.1</t>
  </si>
  <si>
    <t>C3.Sb5.P5.1a</t>
  </si>
  <si>
    <t>C3.Sb5.P5.1b</t>
  </si>
  <si>
    <t>Um relatório on-line da capacidade de endividamento do Estado</t>
  </si>
  <si>
    <t>Um relatório on-line da capacidade de pagamento do Estado</t>
  </si>
  <si>
    <r>
      <t>C3.Sb5.P5.2</t>
    </r>
    <r>
      <rPr>
        <b/>
        <sz val="10"/>
        <color indexed="10"/>
        <rFont val="Calibri"/>
        <family val="2"/>
      </rPr>
      <t xml:space="preserve"> </t>
    </r>
  </si>
  <si>
    <t>Um relatório sobre precatórios on-line</t>
  </si>
  <si>
    <t>C3.Sb5.P5.3</t>
  </si>
  <si>
    <t>C3.R5.1</t>
  </si>
  <si>
    <t>C4.R6.1</t>
  </si>
  <si>
    <t>PRODUTO EXCLUÍDO</t>
  </si>
  <si>
    <t xml:space="preserve">C4.Sb7.P7.4 </t>
  </si>
  <si>
    <t>C4.R7.1</t>
  </si>
  <si>
    <t>Número de documentos recebidos via Web (obrigatórios-SPED) com validade jurídica assegurada / Número total de documentos recebidos via Web</t>
  </si>
  <si>
    <t xml:space="preserve">C4.Sb8.P8.1 </t>
  </si>
  <si>
    <t>C4.Sb8.P8.3.1a</t>
  </si>
  <si>
    <t>C4.Sb8.P8.3.1b</t>
  </si>
  <si>
    <t>C4.Sb8.P8.4</t>
  </si>
  <si>
    <t>C4.R8.1</t>
  </si>
  <si>
    <t>C4.Sb9.P9.1</t>
  </si>
  <si>
    <t>C4.Sb9.P9.2</t>
  </si>
  <si>
    <t>C4.R9.1</t>
  </si>
  <si>
    <t>Data:  versão preliminar 12 de Maio de 2011</t>
  </si>
  <si>
    <r>
      <t xml:space="preserve"> RELATÓRIO SEMESTRAL DE PROGRESSO</t>
    </r>
    <r>
      <rPr>
        <b/>
        <sz val="14"/>
        <color indexed="10"/>
        <rFont val="Calibri"/>
        <family val="2"/>
      </rPr>
      <t xml:space="preserve"> (2011.1)</t>
    </r>
    <r>
      <rPr>
        <b/>
        <sz val="14"/>
        <color indexed="12"/>
        <rFont val="Calibri"/>
        <family val="2"/>
      </rPr>
      <t xml:space="preserve">
EMPRÉSTIMO: 2044-OC/BR</t>
    </r>
  </si>
  <si>
    <t>Adiada</t>
  </si>
  <si>
    <t>Em processamento</t>
  </si>
  <si>
    <t>Contratada</t>
  </si>
</sst>
</file>

<file path=xl/styles.xml><?xml version="1.0" encoding="utf-8"?>
<styleSheet xmlns="http://schemas.openxmlformats.org/spreadsheetml/2006/main">
  <numFmts count="3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_);_(&quot;R$ &quot;* \(#,##0\);_(&quot;R$ &quot;* &quot;-&quot;_);_(@_)"/>
    <numFmt numFmtId="165" formatCode="_(* #,##0_);_(* \(#,##0\);_(* &quot;-&quot;_);_(@_)"/>
    <numFmt numFmtId="166" formatCode="_(&quot;R$ &quot;* #,##0.00_);_(&quot;R$ &quot;* \(#,##0.00\);_(&quot;R$ &quot;* &quot;-&quot;??_);_(@_)"/>
    <numFmt numFmtId="167" formatCode="_(* #,##0.00_);_(* \(#,##0.00\);_(* &quot;-&quot;??_);_(@_)"/>
    <numFmt numFmtId="168" formatCode="_(* #,##0_);_(* \(#,##0\);_(* &quot;-&quot;??_);_(@_)"/>
    <numFmt numFmtId="169" formatCode="0.0"/>
    <numFmt numFmtId="170" formatCode="_(* #,##0_);_(* \(#,##0\);_(* \-??_);_(@_)"/>
    <numFmt numFmtId="171" formatCode="_(* #,##0.00_);_(* \(#,##0.00\);_(* \-??_);_(@_)"/>
    <numFmt numFmtId="172" formatCode="0.0000"/>
    <numFmt numFmtId="173" formatCode="mmmm\-yy;@"/>
    <numFmt numFmtId="174" formatCode="_(&quot;$&quot;* #,##0_);_(&quot;$&quot;* \(#,##0\);_(&quot;$&quot;* &quot;-&quot;??_);_(@_)"/>
    <numFmt numFmtId="175" formatCode="&quot;$&quot;#,##0"/>
    <numFmt numFmtId="176" formatCode="#,##0.0000"/>
    <numFmt numFmtId="177" formatCode="[$$-409]#,##0"/>
    <numFmt numFmtId="178" formatCode="mmm\-yy;@"/>
    <numFmt numFmtId="179" formatCode="0.000%"/>
    <numFmt numFmtId="180" formatCode="&quot;Sim&quot;;&quot;Sim&quot;;&quot;Não&quot;"/>
    <numFmt numFmtId="181" formatCode="&quot;Verdadeiro&quot;;&quot;Verdadeiro&quot;;&quot;Falso&quot;"/>
    <numFmt numFmtId="182" formatCode="&quot;Ativado&quot;;&quot;Ativado&quot;;&quot;Desativado&quot;"/>
    <numFmt numFmtId="183" formatCode="[$€-2]\ #,##0.00_);[Red]\([$€-2]\ #,##0.00\)"/>
    <numFmt numFmtId="184" formatCode="_(* #,##0.0_);_(* \(#,##0.0\);_(* &quot;-&quot;??_);_(@_)"/>
    <numFmt numFmtId="185" formatCode="0.0%"/>
  </numFmts>
  <fonts count="122">
    <font>
      <sz val="10"/>
      <name val="Arial"/>
      <family val="0"/>
    </font>
    <font>
      <u val="single"/>
      <sz val="10"/>
      <color indexed="12"/>
      <name val="Arial"/>
      <family val="2"/>
    </font>
    <font>
      <u val="single"/>
      <sz val="10"/>
      <color indexed="36"/>
      <name val="Arial"/>
      <family val="2"/>
    </font>
    <font>
      <sz val="8"/>
      <name val="Tahoma"/>
      <family val="2"/>
    </font>
    <font>
      <b/>
      <sz val="8"/>
      <name val="Tahoma"/>
      <family val="2"/>
    </font>
    <font>
      <b/>
      <sz val="9"/>
      <name val="Tahoma"/>
      <family val="2"/>
    </font>
    <font>
      <sz val="9"/>
      <name val="Tahoma"/>
      <family val="2"/>
    </font>
    <font>
      <b/>
      <sz val="14"/>
      <name val="Calibri"/>
      <family val="2"/>
    </font>
    <font>
      <b/>
      <sz val="12"/>
      <name val="Calibri"/>
      <family val="2"/>
    </font>
    <font>
      <b/>
      <i/>
      <sz val="12"/>
      <name val="Calibri"/>
      <family val="2"/>
    </font>
    <font>
      <sz val="11"/>
      <name val="Calibri"/>
      <family val="2"/>
    </font>
    <font>
      <sz val="10"/>
      <name val="Calibri"/>
      <family val="2"/>
    </font>
    <font>
      <b/>
      <sz val="10"/>
      <name val="Calibri"/>
      <family val="2"/>
    </font>
    <font>
      <b/>
      <sz val="10"/>
      <color indexed="10"/>
      <name val="Calibri"/>
      <family val="2"/>
    </font>
    <font>
      <sz val="10"/>
      <name val="Times New Roman"/>
      <family val="1"/>
    </font>
    <font>
      <b/>
      <sz val="10"/>
      <color indexed="10"/>
      <name val="Times New Roman"/>
      <family val="1"/>
    </font>
    <font>
      <sz val="10"/>
      <color indexed="10"/>
      <name val="Times New Roman"/>
      <family val="1"/>
    </font>
    <font>
      <b/>
      <sz val="10"/>
      <color indexed="8"/>
      <name val="Calibri"/>
      <family val="2"/>
    </font>
    <font>
      <b/>
      <sz val="10"/>
      <name val="Arial"/>
      <family val="2"/>
    </font>
    <font>
      <sz val="11"/>
      <color indexed="8"/>
      <name val="Calibri"/>
      <family val="2"/>
    </font>
    <font>
      <sz val="11"/>
      <color indexed="10"/>
      <name val="Calibri"/>
      <family val="2"/>
    </font>
    <font>
      <b/>
      <sz val="11"/>
      <color indexed="8"/>
      <name val="Calibri"/>
      <family val="2"/>
    </font>
    <font>
      <b/>
      <sz val="8"/>
      <name val="Calibri"/>
      <family val="2"/>
    </font>
    <font>
      <i/>
      <sz val="10"/>
      <name val="Calibri"/>
      <family val="2"/>
    </font>
    <font>
      <b/>
      <sz val="14"/>
      <color indexed="10"/>
      <name val="Calibri"/>
      <family val="2"/>
    </font>
    <font>
      <sz val="12"/>
      <name val="Calibri"/>
      <family val="2"/>
    </font>
    <font>
      <b/>
      <sz val="11"/>
      <color indexed="10"/>
      <name val="Calibri"/>
      <family val="2"/>
    </font>
    <font>
      <b/>
      <sz val="11"/>
      <name val="Calibri"/>
      <family val="2"/>
    </font>
    <font>
      <sz val="14"/>
      <name val="Calibri"/>
      <family val="2"/>
    </font>
    <font>
      <b/>
      <i/>
      <sz val="11"/>
      <name val="Calibri"/>
      <family val="2"/>
    </font>
    <font>
      <sz val="10"/>
      <color indexed="10"/>
      <name val="Calibri"/>
      <family val="2"/>
    </font>
    <font>
      <sz val="10"/>
      <color indexed="8"/>
      <name val="Calibri"/>
      <family val="2"/>
    </font>
    <font>
      <sz val="9"/>
      <name val="Calibri"/>
      <family val="2"/>
    </font>
    <font>
      <sz val="9"/>
      <color indexed="8"/>
      <name val="Calibri"/>
      <family val="2"/>
    </font>
    <font>
      <b/>
      <sz val="14"/>
      <color indexed="12"/>
      <name val="Calibri"/>
      <family val="2"/>
    </font>
    <font>
      <b/>
      <sz val="10"/>
      <name val="Times New Roman"/>
      <family val="1"/>
    </font>
    <font>
      <sz val="12"/>
      <color indexed="10"/>
      <name val="Calibri"/>
      <family val="0"/>
    </font>
    <font>
      <sz val="8"/>
      <name val="Calibri"/>
      <family val="0"/>
    </font>
    <font>
      <sz val="12"/>
      <color indexed="8"/>
      <name val="Times New Roman"/>
      <family val="1"/>
    </font>
    <font>
      <sz val="7"/>
      <name val="Calibri"/>
      <family val="2"/>
    </font>
    <font>
      <sz val="7"/>
      <color indexed="62"/>
      <name val="Calibri"/>
      <family val="2"/>
    </font>
    <font>
      <b/>
      <sz val="11"/>
      <color indexed="60"/>
      <name val="Calibri"/>
      <family val="2"/>
    </font>
    <font>
      <sz val="10"/>
      <color indexed="8"/>
      <name val="Times New Roman"/>
      <family val="1"/>
    </font>
    <font>
      <sz val="10"/>
      <color indexed="54"/>
      <name val="Calibri"/>
      <family val="2"/>
    </font>
    <font>
      <i/>
      <sz val="10"/>
      <color indexed="54"/>
      <name val="Calibri"/>
      <family val="2"/>
    </font>
    <font>
      <sz val="10"/>
      <color indexed="62"/>
      <name val="Calibri"/>
      <family val="2"/>
    </font>
    <font>
      <sz val="7"/>
      <color indexed="62"/>
      <name val="CALIBRI"/>
      <family val="0"/>
    </font>
    <font>
      <i/>
      <sz val="10"/>
      <color indexed="62"/>
      <name val="Calibri"/>
      <family val="2"/>
    </font>
    <font>
      <b/>
      <sz val="11"/>
      <color indexed="61"/>
      <name val="Calibri"/>
      <family val="0"/>
    </font>
    <font>
      <sz val="8"/>
      <color indexed="8"/>
      <name val="Calibri"/>
      <family val="2"/>
    </font>
    <font>
      <b/>
      <sz val="12"/>
      <color indexed="8"/>
      <name val="Calibri"/>
      <family val="2"/>
    </font>
    <font>
      <i/>
      <sz val="10"/>
      <color indexed="8"/>
      <name val="Calibri"/>
      <family val="2"/>
    </font>
    <font>
      <sz val="10"/>
      <color indexed="18"/>
      <name val="Times New Roman"/>
      <family val="1"/>
    </font>
    <font>
      <sz val="7"/>
      <color indexed="18"/>
      <name val="Calibri"/>
      <family val="0"/>
    </font>
    <font>
      <sz val="11"/>
      <color indexed="18"/>
      <name val="Calibri"/>
      <family val="2"/>
    </font>
    <font>
      <sz val="10"/>
      <color indexed="18"/>
      <name val="Arial"/>
      <family val="2"/>
    </font>
    <font>
      <sz val="7"/>
      <name val="Times New Roman"/>
      <family val="1"/>
    </font>
    <font>
      <sz val="7"/>
      <color indexed="54"/>
      <name val="Calibri"/>
      <family val="0"/>
    </font>
    <font>
      <sz val="7"/>
      <color indexed="8"/>
      <name val="CALIBRI"/>
      <family val="0"/>
    </font>
    <font>
      <b/>
      <sz val="7"/>
      <name val="Calibri"/>
      <family val="0"/>
    </font>
    <font>
      <sz val="10"/>
      <color indexed="57"/>
      <name val="Times New Roman"/>
      <family val="1"/>
    </font>
    <font>
      <sz val="10"/>
      <color indexed="57"/>
      <name val="Arial"/>
      <family val="0"/>
    </font>
    <font>
      <sz val="7"/>
      <color indexed="57"/>
      <name val="Calibri"/>
      <family val="0"/>
    </font>
    <font>
      <b/>
      <sz val="11"/>
      <color indexed="57"/>
      <name val="Calibri"/>
      <family val="0"/>
    </font>
    <font>
      <sz val="11"/>
      <color indexed="57"/>
      <name val="Calibri"/>
      <family val="2"/>
    </font>
    <font>
      <sz val="10"/>
      <color indexed="10"/>
      <name val="Arial"/>
      <family val="2"/>
    </font>
    <font>
      <sz val="7"/>
      <color indexed="10"/>
      <name val="CALIBRI"/>
      <family val="0"/>
    </font>
    <font>
      <sz val="10"/>
      <color indexed="57"/>
      <name val="times"/>
      <family val="0"/>
    </font>
    <font>
      <b/>
      <sz val="8"/>
      <name val="Arial"/>
      <family val="2"/>
    </font>
    <font>
      <sz val="10"/>
      <name val="Tahoma"/>
      <family val="2"/>
    </font>
    <font>
      <u val="single"/>
      <sz val="10"/>
      <color indexed="12"/>
      <name val="Calibri"/>
      <family val="2"/>
    </font>
    <font>
      <sz val="1.75"/>
      <color indexed="8"/>
      <name val="Arial"/>
      <family val="0"/>
    </font>
    <font>
      <b/>
      <i/>
      <sz val="1.75"/>
      <color indexed="8"/>
      <name val="Trebuchet MS"/>
      <family val="0"/>
    </font>
    <font>
      <b/>
      <sz val="1.75"/>
      <color indexed="8"/>
      <name val="Trebuchet MS"/>
      <family val="0"/>
    </font>
    <font>
      <b/>
      <i/>
      <sz val="8.45"/>
      <color indexed="8"/>
      <name val="Trebuchet MS"/>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2"/>
      <name val="Calibri"/>
      <family val="2"/>
    </font>
    <font>
      <sz val="10"/>
      <color indexed="12"/>
      <name val="Calibri"/>
      <family val="2"/>
    </font>
    <font>
      <sz val="12"/>
      <color indexed="8"/>
      <name val="Calibri"/>
      <family val="2"/>
    </font>
    <font>
      <b/>
      <sz val="12"/>
      <color indexed="8"/>
      <name val="Arial"/>
      <family val="0"/>
    </font>
    <font>
      <b/>
      <sz val="1.5"/>
      <color indexed="8"/>
      <name val="Arial"/>
      <family val="0"/>
    </font>
    <font>
      <b/>
      <sz val="2.2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FF0000"/>
      <name val="Calibri"/>
      <family val="2"/>
    </font>
    <font>
      <b/>
      <sz val="11"/>
      <color rgb="FF1C1FA0"/>
      <name val="Calibri"/>
      <family val="2"/>
    </font>
    <font>
      <sz val="10"/>
      <color rgb="FFFF0000"/>
      <name val="Calibri"/>
      <family val="2"/>
    </font>
    <font>
      <sz val="10"/>
      <color rgb="FF0000FF"/>
      <name val="Calibri"/>
      <family val="2"/>
    </font>
    <font>
      <b/>
      <sz val="10"/>
      <color rgb="FFFF0000"/>
      <name val="Calibri"/>
      <family val="2"/>
    </font>
    <font>
      <sz val="12"/>
      <color rgb="FFFF0000"/>
      <name val="Calibri"/>
      <family val="2"/>
    </font>
    <font>
      <b/>
      <sz val="10"/>
      <color rgb="FF000000"/>
      <name val="Calibri"/>
      <family val="2"/>
    </font>
    <font>
      <sz val="10"/>
      <color rgb="FF000000"/>
      <name val="Calibri"/>
      <family val="2"/>
    </font>
    <font>
      <sz val="9"/>
      <color rgb="FF000000"/>
      <name val="Calibri"/>
      <family val="2"/>
    </font>
    <font>
      <sz val="12"/>
      <color rgb="FF00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
      <patternFill patternType="solid">
        <fgColor indexed="9"/>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3" tint="0.7999799847602844"/>
        <bgColor indexed="64"/>
      </patternFill>
    </fill>
    <fill>
      <patternFill patternType="solid">
        <fgColor rgb="FFD9D9D9"/>
        <bgColor indexed="64"/>
      </patternFill>
    </fill>
    <fill>
      <patternFill patternType="solid">
        <fgColor theme="3" tint="0.5999900102615356"/>
        <bgColor indexed="64"/>
      </patternFill>
    </fill>
    <fill>
      <patternFill patternType="solid">
        <fgColor rgb="FF99CCFF"/>
        <bgColor indexed="64"/>
      </patternFill>
    </fill>
    <fill>
      <patternFill patternType="solid">
        <fgColor rgb="FFCCCCCC"/>
        <bgColor indexed="64"/>
      </patternFill>
    </fill>
    <fill>
      <patternFill patternType="solid">
        <fgColor rgb="FFFFFF99"/>
        <bgColor indexed="64"/>
      </patternFill>
    </fill>
  </fills>
  <borders count="1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medium"/>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color indexed="63"/>
      </right>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medium"/>
      <right style="thin"/>
      <top>
        <color indexed="63"/>
      </top>
      <bottom style="medium"/>
    </border>
    <border>
      <left style="thin">
        <color indexed="55"/>
      </left>
      <right style="thin">
        <color indexed="55"/>
      </right>
      <top style="thin">
        <color indexed="22"/>
      </top>
      <bottom>
        <color indexed="63"/>
      </bottom>
    </border>
    <border>
      <left style="thin"/>
      <right/>
      <top style="medium"/>
      <bottom style="hair"/>
    </border>
    <border>
      <left style="thin"/>
      <right>
        <color indexed="63"/>
      </right>
      <top>
        <color indexed="63"/>
      </top>
      <bottom>
        <color indexed="63"/>
      </bottom>
    </border>
    <border>
      <left>
        <color indexed="63"/>
      </left>
      <right style="thin"/>
      <top>
        <color indexed="63"/>
      </top>
      <bottom>
        <color indexed="63"/>
      </bottom>
    </border>
    <border>
      <left style="thin"/>
      <right/>
      <top/>
      <bottom style="hair"/>
    </border>
    <border>
      <left/>
      <right style="thin"/>
      <top/>
      <bottom style="hair"/>
    </border>
    <border>
      <left style="thin"/>
      <right/>
      <top style="hair"/>
      <bottom style="hair"/>
    </border>
    <border>
      <left style="thin"/>
      <right/>
      <top style="hair"/>
      <bottom/>
    </border>
    <border>
      <left/>
      <right style="thin"/>
      <top style="hair"/>
      <bottom>
        <color indexed="63"/>
      </bottom>
    </border>
    <border>
      <left style="thin"/>
      <right/>
      <top style="hair"/>
      <bottom style="thin"/>
    </border>
    <border>
      <left>
        <color indexed="63"/>
      </left>
      <right style="thin"/>
      <top style="medium"/>
      <bottom style="medium"/>
    </border>
    <border>
      <left>
        <color indexed="63"/>
      </left>
      <right style="thin"/>
      <top style="thin"/>
      <bottom style="thin"/>
    </border>
    <border>
      <left/>
      <right/>
      <top style="hair"/>
      <bottom style="hair"/>
    </border>
    <border>
      <left/>
      <right/>
      <top/>
      <bottom style="hair"/>
    </border>
    <border>
      <left/>
      <right style="thin"/>
      <top style="hair"/>
      <bottom style="hair"/>
    </border>
    <border>
      <left/>
      <right>
        <color indexed="63"/>
      </right>
      <top style="hair"/>
      <bottom>
        <color indexed="63"/>
      </bottom>
    </border>
    <border>
      <left/>
      <right/>
      <top style="hair"/>
      <bottom style="thin"/>
    </border>
    <border>
      <left/>
      <right style="thin"/>
      <top style="hair"/>
      <bottom style="thin"/>
    </border>
    <border>
      <left>
        <color indexed="63"/>
      </left>
      <right style="thin"/>
      <top>
        <color indexed="63"/>
      </top>
      <bottom style="thin"/>
    </border>
    <border>
      <left style="thin"/>
      <right>
        <color indexed="63"/>
      </right>
      <top>
        <color indexed="63"/>
      </top>
      <bottom style="thin"/>
    </border>
    <border>
      <left style="thin"/>
      <right style="thin"/>
      <top style="medium"/>
      <bottom>
        <color indexed="63"/>
      </bottom>
    </border>
    <border>
      <left style="thin"/>
      <right>
        <color indexed="63"/>
      </right>
      <top style="thin"/>
      <bottom>
        <color indexed="63"/>
      </bottom>
    </border>
    <border>
      <left/>
      <right style="thin"/>
      <top style="medium"/>
      <bottom>
        <color indexed="63"/>
      </bottom>
    </border>
    <border>
      <left style="medium"/>
      <right/>
      <top/>
      <bottom style="hair"/>
    </border>
    <border>
      <left style="thin"/>
      <right style="medium"/>
      <top/>
      <bottom style="hair"/>
    </border>
    <border>
      <left style="medium"/>
      <right/>
      <top style="hair"/>
      <bottom style="hair"/>
    </border>
    <border>
      <left style="thin"/>
      <right style="medium"/>
      <top style="hair"/>
      <bottom style="hair"/>
    </border>
    <border>
      <left style="medium"/>
      <right/>
      <top style="hair"/>
      <bottom/>
    </border>
    <border>
      <left style="thin"/>
      <right style="medium"/>
      <top style="hair"/>
      <bottom/>
    </border>
    <border>
      <left style="medium"/>
      <right/>
      <top style="hair"/>
      <bottom style="thin"/>
    </border>
    <border>
      <left style="thin"/>
      <right style="medium"/>
      <top style="hair"/>
      <bottom style="thin"/>
    </border>
    <border>
      <left style="thin"/>
      <right>
        <color indexed="63"/>
      </right>
      <top>
        <color indexed="63"/>
      </top>
      <bottom style="medium"/>
    </border>
    <border>
      <left>
        <color indexed="63"/>
      </left>
      <right style="thin"/>
      <top>
        <color indexed="63"/>
      </top>
      <bottom style="medium"/>
    </border>
    <border>
      <left style="medium"/>
      <right style="thin"/>
      <top>
        <color indexed="63"/>
      </top>
      <bottom>
        <color indexed="63"/>
      </bottom>
    </border>
    <border>
      <left style="thin"/>
      <right style="thin"/>
      <top>
        <color indexed="63"/>
      </top>
      <bottom style="medium"/>
    </border>
    <border>
      <left style="thin"/>
      <right/>
      <top style="hair"/>
      <bottom style="medium"/>
    </border>
    <border>
      <left style="thin"/>
      <right style="thin"/>
      <top style="hair"/>
      <bottom style="thin"/>
    </border>
    <border>
      <left>
        <color indexed="63"/>
      </left>
      <right style="thin"/>
      <top style="thin"/>
      <bottom>
        <color indexed="63"/>
      </bottom>
    </border>
    <border>
      <left style="medium"/>
      <right style="medium"/>
      <top style="medium"/>
      <bottom style="medium"/>
    </border>
    <border>
      <left style="medium"/>
      <right style="medium"/>
      <top>
        <color indexed="63"/>
      </top>
      <bottom style="medium"/>
    </border>
    <border>
      <left style="thin"/>
      <right style="thin"/>
      <top>
        <color indexed="63"/>
      </top>
      <bottom>
        <color indexed="63"/>
      </bottom>
    </border>
    <border>
      <left style="medium">
        <color indexed="8"/>
      </left>
      <right style="medium">
        <color indexed="8"/>
      </right>
      <top style="medium"/>
      <bottom>
        <color indexed="63"/>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mediu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right style="thin">
        <color indexed="8"/>
      </right>
      <top style="thin"/>
      <bottom style="thin"/>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right style="medium">
        <color indexed="8"/>
      </right>
      <top style="thin"/>
      <bottom style="thin"/>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style="thin">
        <color indexed="8"/>
      </top>
      <bottom style="thin">
        <color indexed="8"/>
      </bottom>
    </border>
    <border>
      <left style="thin"/>
      <right style="thin"/>
      <top style="hair"/>
      <bottom style="hair"/>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medium"/>
      <top>
        <color indexed="63"/>
      </top>
      <bottom style="medium"/>
    </border>
    <border>
      <left style="medium"/>
      <right style="thin"/>
      <top style="medium"/>
      <bottom style="thin"/>
    </border>
    <border>
      <left style="thin"/>
      <right style="medium"/>
      <top style="medium"/>
      <bottom>
        <color indexed="63"/>
      </bottom>
    </border>
    <border>
      <left style="thin"/>
      <right style="thin"/>
      <top>
        <color indexed="63"/>
      </top>
      <bottom style="hair"/>
    </border>
    <border>
      <left style="thin"/>
      <right style="thin"/>
      <top style="hair"/>
      <bottom>
        <color indexed="63"/>
      </bottom>
    </border>
    <border>
      <left/>
      <right style="thin"/>
      <top style="medium"/>
      <bottom style="hair"/>
    </border>
    <border>
      <left>
        <color indexed="63"/>
      </left>
      <right style="thin"/>
      <top style="thin"/>
      <bottom style="medium"/>
    </border>
    <border>
      <left/>
      <right style="thin"/>
      <top style="hair"/>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style="medium"/>
      <top>
        <color indexed="63"/>
      </top>
      <bottom>
        <color indexed="63"/>
      </bottom>
    </border>
    <border>
      <left style="medium"/>
      <right style="medium"/>
      <top style="medium"/>
      <bottom>
        <color indexed="63"/>
      </bottom>
    </border>
    <border>
      <left style="thin"/>
      <right>
        <color indexed="63"/>
      </right>
      <top style="medium"/>
      <bottom style="medium"/>
    </border>
    <border>
      <left style="medium"/>
      <right style="medium"/>
      <top>
        <color indexed="63"/>
      </top>
      <bottom>
        <color indexed="63"/>
      </bottom>
    </border>
    <border>
      <left style="medium"/>
      <right style="medium"/>
      <top style="thin"/>
      <bottom>
        <color indexed="63"/>
      </bottom>
    </border>
    <border>
      <left style="medium"/>
      <right style="medium"/>
      <top>
        <color indexed="63"/>
      </top>
      <bottom style="thin"/>
    </border>
    <border>
      <left>
        <color indexed="63"/>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medium"/>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style="medium"/>
    </border>
    <border>
      <left style="medium">
        <color indexed="8"/>
      </left>
      <right>
        <color indexed="63"/>
      </right>
      <top style="medium"/>
      <bottom>
        <color indexed="63"/>
      </bottom>
    </border>
    <border>
      <left style="medium">
        <color indexed="8"/>
      </left>
      <right>
        <color indexed="63"/>
      </right>
      <top>
        <color indexed="63"/>
      </top>
      <bottom style="mediu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medium"/>
      <top style="medium"/>
      <bottom style="thin">
        <color indexed="8"/>
      </bottom>
    </border>
    <border>
      <left>
        <color indexed="63"/>
      </left>
      <right style="medium"/>
      <top style="medium">
        <color indexed="8"/>
      </top>
      <bottom style="thin">
        <color indexed="8"/>
      </bottom>
    </border>
    <border>
      <left>
        <color indexed="63"/>
      </left>
      <right style="medium"/>
      <top style="medium">
        <color indexed="8"/>
      </top>
      <bottom style="mediu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color indexed="8"/>
      </right>
      <top>
        <color indexed="63"/>
      </top>
      <bottom style="medium"/>
    </border>
    <border>
      <left style="medium">
        <color indexed="8"/>
      </left>
      <right style="medium">
        <color indexed="8"/>
      </right>
      <top style="medium">
        <color indexed="8"/>
      </top>
      <bottom>
        <color indexed="63"/>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color indexed="8"/>
      </right>
      <top style="thin"/>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7" fillId="20" borderId="0" applyNumberFormat="0" applyBorder="0" applyAlignment="0" applyProtection="0"/>
    <xf numFmtId="0" fontId="98" fillId="21" borderId="1" applyNumberFormat="0" applyAlignment="0" applyProtection="0"/>
    <xf numFmtId="0" fontId="99" fillId="22" borderId="2" applyNumberFormat="0" applyAlignment="0" applyProtection="0"/>
    <xf numFmtId="0" fontId="100" fillId="0" borderId="3" applyNumberFormat="0" applyFill="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7" borderId="0" applyNumberFormat="0" applyBorder="0" applyAlignment="0" applyProtection="0"/>
    <xf numFmtId="0" fontId="96" fillId="28" borderId="0" applyNumberFormat="0" applyBorder="0" applyAlignment="0" applyProtection="0"/>
    <xf numFmtId="0" fontId="101" fillId="29" borderId="1" applyNumberFormat="0" applyAlignment="0" applyProtection="0"/>
    <xf numFmtId="0" fontId="19" fillId="0" borderId="0">
      <alignment/>
      <protection/>
    </xf>
    <xf numFmtId="0" fontId="1" fillId="0" borderId="0" applyNumberFormat="0" applyFill="0" applyBorder="0" applyAlignment="0" applyProtection="0"/>
    <xf numFmtId="0" fontId="2" fillId="0" borderId="0" applyNumberFormat="0" applyFill="0" applyBorder="0" applyAlignment="0" applyProtection="0"/>
    <xf numFmtId="0" fontId="102" fillId="30"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0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ill="0" applyBorder="0" applyAlignment="0" applyProtection="0"/>
    <xf numFmtId="0" fontId="104" fillId="21" borderId="5" applyNumberFormat="0" applyAlignment="0" applyProtection="0"/>
    <xf numFmtId="165" fontId="0" fillId="0" borderId="0" applyFont="0" applyFill="0" applyBorder="0" applyAlignment="0" applyProtection="0"/>
    <xf numFmtId="167" fontId="0" fillId="0" borderId="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6" applyNumberFormat="0" applyFill="0" applyAlignment="0" applyProtection="0"/>
    <xf numFmtId="0" fontId="109" fillId="0" borderId="7" applyNumberFormat="0" applyFill="0" applyAlignment="0" applyProtection="0"/>
    <xf numFmtId="0" fontId="110" fillId="0" borderId="8" applyNumberFormat="0" applyFill="0" applyAlignment="0" applyProtection="0"/>
    <xf numFmtId="0" fontId="110" fillId="0" borderId="0" applyNumberFormat="0" applyFill="0" applyBorder="0" applyAlignment="0" applyProtection="0"/>
    <xf numFmtId="0" fontId="111" fillId="0" borderId="9" applyNumberFormat="0" applyFill="0" applyAlignment="0" applyProtection="0"/>
    <xf numFmtId="167" fontId="0" fillId="0" borderId="0" applyFont="0" applyFill="0" applyBorder="0" applyAlignment="0" applyProtection="0"/>
  </cellStyleXfs>
  <cellXfs count="1702">
    <xf numFmtId="0" fontId="0" fillId="0" borderId="0" xfId="0" applyAlignment="1">
      <alignment/>
    </xf>
    <xf numFmtId="0" fontId="11" fillId="0" borderId="0" xfId="0" applyFont="1" applyAlignment="1" applyProtection="1">
      <alignment/>
      <protection locked="0"/>
    </xf>
    <xf numFmtId="0" fontId="11" fillId="0" borderId="0" xfId="0" applyFont="1" applyAlignment="1">
      <alignment/>
    </xf>
    <xf numFmtId="0" fontId="22" fillId="0" borderId="0" xfId="0" applyFont="1" applyAlignment="1">
      <alignment horizontal="right"/>
    </xf>
    <xf numFmtId="0" fontId="23" fillId="0" borderId="0" xfId="0" applyFont="1" applyAlignment="1">
      <alignment/>
    </xf>
    <xf numFmtId="0" fontId="24" fillId="0" borderId="0" xfId="0" applyFont="1" applyAlignment="1" applyProtection="1">
      <alignment horizontal="center" vertical="top" wrapText="1"/>
      <protection locked="0"/>
    </xf>
    <xf numFmtId="0" fontId="8" fillId="33" borderId="10" xfId="0" applyFont="1" applyFill="1" applyBorder="1" applyAlignment="1" applyProtection="1">
      <alignment horizontal="center"/>
      <protection locked="0"/>
    </xf>
    <xf numFmtId="0" fontId="8" fillId="33" borderId="10" xfId="0" applyFont="1" applyFill="1" applyBorder="1" applyAlignment="1" applyProtection="1">
      <alignment/>
      <protection locked="0"/>
    </xf>
    <xf numFmtId="0" fontId="8" fillId="0" borderId="0" xfId="0" applyFont="1" applyBorder="1" applyAlignment="1" applyProtection="1">
      <alignment horizontal="center"/>
      <protection locked="0"/>
    </xf>
    <xf numFmtId="0" fontId="25" fillId="0" borderId="0" xfId="0" applyFont="1" applyAlignment="1">
      <alignment/>
    </xf>
    <xf numFmtId="0" fontId="10" fillId="0" borderId="0" xfId="0" applyFont="1" applyAlignment="1">
      <alignment horizontal="center"/>
    </xf>
    <xf numFmtId="0" fontId="8" fillId="0" borderId="0" xfId="0" applyFont="1" applyAlignment="1" applyProtection="1">
      <alignment/>
      <protection locked="0"/>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1" xfId="0" applyFont="1" applyFill="1" applyBorder="1" applyAlignment="1">
      <alignment horizontal="left" vertical="top" wrapText="1"/>
    </xf>
    <xf numFmtId="0" fontId="10" fillId="0" borderId="12" xfId="0" applyFont="1" applyFill="1" applyBorder="1" applyAlignment="1">
      <alignment horizontal="left" vertical="top" wrapText="1"/>
    </xf>
    <xf numFmtId="0" fontId="26"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10" fillId="0" borderId="0" xfId="0" applyFont="1" applyAlignment="1">
      <alignment horizontal="left"/>
    </xf>
    <xf numFmtId="0" fontId="10" fillId="0" borderId="0" xfId="0" applyFont="1" applyAlignment="1">
      <alignment/>
    </xf>
    <xf numFmtId="0" fontId="10" fillId="0" borderId="0" xfId="0" applyFont="1" applyAlignment="1" applyProtection="1">
      <alignment/>
      <protection locked="0"/>
    </xf>
    <xf numFmtId="0" fontId="10" fillId="0" borderId="0" xfId="0" applyFont="1" applyAlignment="1" applyProtection="1">
      <alignment horizontal="center"/>
      <protection locked="0"/>
    </xf>
    <xf numFmtId="0" fontId="27" fillId="0" borderId="0" xfId="0" applyFont="1" applyAlignment="1" applyProtection="1">
      <alignment horizontal="center"/>
      <protection locked="0"/>
    </xf>
    <xf numFmtId="0" fontId="10" fillId="0" borderId="10" xfId="0" applyFont="1" applyBorder="1" applyAlignment="1" applyProtection="1">
      <alignment horizontal="center"/>
      <protection locked="0"/>
    </xf>
    <xf numFmtId="0" fontId="10" fillId="0" borderId="10" xfId="0" applyFont="1" applyBorder="1" applyAlignment="1" applyProtection="1">
      <alignment/>
      <protection locked="0"/>
    </xf>
    <xf numFmtId="0" fontId="27" fillId="0" borderId="0" xfId="0" applyFont="1" applyBorder="1" applyAlignment="1" applyProtection="1">
      <alignment horizontal="left"/>
      <protection locked="0"/>
    </xf>
    <xf numFmtId="0" fontId="27" fillId="0" borderId="10" xfId="0" applyFont="1" applyBorder="1" applyAlignment="1">
      <alignment horizontal="center"/>
    </xf>
    <xf numFmtId="0" fontId="10" fillId="0" borderId="10" xfId="0" applyFont="1" applyBorder="1" applyAlignment="1">
      <alignment horizontal="left"/>
    </xf>
    <xf numFmtId="0" fontId="10" fillId="0" borderId="10" xfId="0" applyFont="1" applyBorder="1" applyAlignment="1">
      <alignment/>
    </xf>
    <xf numFmtId="0" fontId="26" fillId="0" borderId="0" xfId="0" applyFont="1" applyBorder="1" applyAlignment="1" applyProtection="1">
      <alignment horizontal="left"/>
      <protection locked="0"/>
    </xf>
    <xf numFmtId="0" fontId="26" fillId="0" borderId="0" xfId="0" applyFont="1" applyAlignment="1" applyProtection="1">
      <alignment horizontal="center" vertical="top" wrapText="1"/>
      <protection locked="0"/>
    </xf>
    <xf numFmtId="0" fontId="10" fillId="0" borderId="0" xfId="0" applyFont="1" applyBorder="1" applyAlignment="1" applyProtection="1">
      <alignment horizontal="center"/>
      <protection locked="0"/>
    </xf>
    <xf numFmtId="0" fontId="27" fillId="0" borderId="0" xfId="0" applyFont="1" applyAlignment="1">
      <alignment horizontal="center"/>
    </xf>
    <xf numFmtId="0" fontId="10" fillId="0" borderId="0" xfId="0" applyFont="1" applyBorder="1" applyAlignment="1">
      <alignment horizontal="left"/>
    </xf>
    <xf numFmtId="0" fontId="20" fillId="0" borderId="0" xfId="0" applyFont="1" applyBorder="1" applyAlignment="1">
      <alignment/>
    </xf>
    <xf numFmtId="3" fontId="25" fillId="0" borderId="0" xfId="0" applyNumberFormat="1" applyFont="1" applyFill="1" applyAlignment="1">
      <alignment/>
    </xf>
    <xf numFmtId="0" fontId="25" fillId="0" borderId="0" xfId="0" applyFont="1" applyFill="1" applyAlignment="1">
      <alignment vertical="top" wrapText="1"/>
    </xf>
    <xf numFmtId="0" fontId="25" fillId="0" borderId="0" xfId="0" applyFont="1" applyFill="1" applyAlignment="1">
      <alignment horizontal="right" vertical="top" wrapText="1"/>
    </xf>
    <xf numFmtId="0" fontId="25" fillId="0" borderId="0" xfId="0" applyFont="1" applyFill="1" applyBorder="1" applyAlignment="1">
      <alignment/>
    </xf>
    <xf numFmtId="0" fontId="25" fillId="0" borderId="0" xfId="0" applyFont="1" applyFill="1" applyAlignment="1">
      <alignment/>
    </xf>
    <xf numFmtId="0" fontId="25" fillId="0" borderId="0" xfId="0" applyFont="1" applyFill="1" applyAlignment="1">
      <alignment vertical="top"/>
    </xf>
    <xf numFmtId="0" fontId="25" fillId="0" borderId="0" xfId="0" applyFont="1" applyBorder="1" applyAlignment="1">
      <alignment/>
    </xf>
    <xf numFmtId="0" fontId="8" fillId="33" borderId="13" xfId="0" applyFont="1" applyFill="1" applyBorder="1" applyAlignment="1">
      <alignment horizontal="center" vertical="center"/>
    </xf>
    <xf numFmtId="0" fontId="8" fillId="33" borderId="14" xfId="0" applyFont="1" applyFill="1" applyBorder="1" applyAlignment="1">
      <alignment horizontal="center" vertical="center"/>
    </xf>
    <xf numFmtId="3" fontId="10" fillId="0" borderId="0" xfId="0" applyNumberFormat="1" applyFont="1" applyFill="1" applyAlignment="1">
      <alignment/>
    </xf>
    <xf numFmtId="0" fontId="27" fillId="0" borderId="0" xfId="0" applyFont="1" applyFill="1" applyAlignment="1">
      <alignment vertical="top"/>
    </xf>
    <xf numFmtId="0" fontId="10" fillId="0" borderId="0" xfId="0" applyFont="1" applyFill="1" applyAlignment="1">
      <alignment vertical="top" wrapText="1"/>
    </xf>
    <xf numFmtId="0" fontId="10" fillId="0" borderId="0" xfId="0" applyFont="1" applyFill="1" applyAlignment="1">
      <alignment horizontal="right" vertical="top" wrapText="1"/>
    </xf>
    <xf numFmtId="0" fontId="10" fillId="0" borderId="0" xfId="0" applyFont="1" applyFill="1" applyBorder="1" applyAlignment="1">
      <alignment/>
    </xf>
    <xf numFmtId="0" fontId="10" fillId="0" borderId="0" xfId="0" applyFont="1" applyFill="1" applyAlignment="1">
      <alignment/>
    </xf>
    <xf numFmtId="0" fontId="10" fillId="0" borderId="0" xfId="0" applyFont="1" applyFill="1" applyAlignment="1">
      <alignment vertical="top"/>
    </xf>
    <xf numFmtId="0" fontId="27" fillId="0" borderId="10" xfId="0" applyFont="1" applyFill="1" applyBorder="1" applyAlignment="1">
      <alignment vertical="top"/>
    </xf>
    <xf numFmtId="0" fontId="10" fillId="0" borderId="0" xfId="0" applyFont="1" applyBorder="1" applyAlignment="1">
      <alignment horizontal="center" wrapText="1"/>
    </xf>
    <xf numFmtId="3" fontId="10" fillId="0" borderId="0" xfId="0" applyNumberFormat="1" applyFont="1" applyBorder="1" applyAlignment="1">
      <alignment horizontal="center" wrapText="1"/>
    </xf>
    <xf numFmtId="3" fontId="10" fillId="34" borderId="0" xfId="0" applyNumberFormat="1" applyFont="1" applyFill="1" applyAlignment="1">
      <alignment/>
    </xf>
    <xf numFmtId="0" fontId="10" fillId="34" borderId="0" xfId="0" applyFont="1" applyFill="1" applyAlignment="1">
      <alignment vertical="top"/>
    </xf>
    <xf numFmtId="0" fontId="10" fillId="34" borderId="0" xfId="0" applyFont="1" applyFill="1" applyAlignment="1">
      <alignment vertical="top" wrapText="1"/>
    </xf>
    <xf numFmtId="0" fontId="10" fillId="34" borderId="0" xfId="0" applyFont="1" applyFill="1" applyAlignment="1">
      <alignment horizontal="right" vertical="top" wrapText="1"/>
    </xf>
    <xf numFmtId="0" fontId="10" fillId="34" borderId="0" xfId="0" applyFont="1" applyFill="1" applyBorder="1" applyAlignment="1">
      <alignment/>
    </xf>
    <xf numFmtId="0" fontId="10" fillId="34" borderId="0" xfId="0" applyFont="1" applyFill="1" applyAlignment="1">
      <alignment/>
    </xf>
    <xf numFmtId="9" fontId="10" fillId="34" borderId="15" xfId="53" applyFont="1" applyFill="1" applyBorder="1" applyAlignment="1">
      <alignment horizontal="left" vertical="center"/>
    </xf>
    <xf numFmtId="0" fontId="10" fillId="34" borderId="0" xfId="53" applyNumberFormat="1" applyFont="1" applyFill="1" applyBorder="1" applyAlignment="1">
      <alignment horizontal="center" vertical="center"/>
    </xf>
    <xf numFmtId="1" fontId="10" fillId="34" borderId="0" xfId="48" applyNumberFormat="1" applyFont="1" applyFill="1" applyBorder="1" applyAlignment="1">
      <alignment horizontal="center" vertical="center"/>
    </xf>
    <xf numFmtId="1" fontId="19" fillId="34" borderId="0" xfId="53" applyNumberFormat="1" applyFont="1" applyFill="1" applyBorder="1" applyAlignment="1">
      <alignment horizontal="center" vertical="center"/>
    </xf>
    <xf numFmtId="0" fontId="10" fillId="0" borderId="0" xfId="0" applyFont="1" applyBorder="1" applyAlignment="1">
      <alignment/>
    </xf>
    <xf numFmtId="0" fontId="10" fillId="34" borderId="0" xfId="0" applyFont="1" applyFill="1" applyBorder="1" applyAlignment="1">
      <alignment horizontal="right" vertical="top" wrapText="1"/>
    </xf>
    <xf numFmtId="3" fontId="10" fillId="34" borderId="16" xfId="0" applyNumberFormat="1" applyFont="1" applyFill="1" applyBorder="1" applyAlignment="1">
      <alignment/>
    </xf>
    <xf numFmtId="0" fontId="27" fillId="0" borderId="10" xfId="0" applyFont="1" applyFill="1" applyBorder="1" applyAlignment="1">
      <alignment horizontal="right" vertical="top" wrapText="1"/>
    </xf>
    <xf numFmtId="3" fontId="27" fillId="0" borderId="17" xfId="0" applyNumberFormat="1" applyFont="1" applyFill="1" applyBorder="1" applyAlignment="1">
      <alignment/>
    </xf>
    <xf numFmtId="3" fontId="27" fillId="0" borderId="0" xfId="0" applyNumberFormat="1" applyFont="1" applyFill="1" applyAlignment="1">
      <alignment/>
    </xf>
    <xf numFmtId="0" fontId="27" fillId="0" borderId="0" xfId="0" applyFont="1" applyFill="1" applyAlignment="1">
      <alignment vertical="top" wrapText="1"/>
    </xf>
    <xf numFmtId="0" fontId="27" fillId="0" borderId="0" xfId="0" applyFont="1" applyFill="1" applyAlignment="1">
      <alignment horizontal="right" vertical="top" wrapText="1"/>
    </xf>
    <xf numFmtId="0" fontId="27" fillId="0" borderId="0" xfId="0" applyFont="1" applyFill="1" applyBorder="1" applyAlignment="1">
      <alignment/>
    </xf>
    <xf numFmtId="0" fontId="27" fillId="0" borderId="0" xfId="0" applyFont="1" applyFill="1" applyAlignment="1">
      <alignment/>
    </xf>
    <xf numFmtId="3" fontId="10" fillId="0" borderId="10" xfId="0" applyNumberFormat="1" applyFont="1" applyFill="1" applyBorder="1" applyAlignment="1">
      <alignment vertical="center"/>
    </xf>
    <xf numFmtId="0" fontId="27" fillId="0" borderId="10" xfId="0" applyFont="1" applyFill="1" applyBorder="1" applyAlignment="1">
      <alignment horizontal="center" vertical="top" wrapText="1"/>
    </xf>
    <xf numFmtId="0" fontId="10" fillId="0" borderId="10" xfId="0" applyFont="1" applyFill="1" applyBorder="1" applyAlignment="1">
      <alignment vertical="center"/>
    </xf>
    <xf numFmtId="3" fontId="10" fillId="0" borderId="0" xfId="0" applyNumberFormat="1" applyFont="1" applyFill="1" applyAlignment="1">
      <alignment vertical="center"/>
    </xf>
    <xf numFmtId="0" fontId="27"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pplyAlignment="1">
      <alignment horizontal="right" vertical="center" wrapText="1"/>
    </xf>
    <xf numFmtId="0" fontId="10" fillId="0" borderId="0" xfId="0" applyFont="1" applyFill="1" applyBorder="1" applyAlignment="1">
      <alignment vertical="center"/>
    </xf>
    <xf numFmtId="0" fontId="10" fillId="0" borderId="0" xfId="0" applyFont="1" applyFill="1" applyAlignment="1">
      <alignment vertical="center"/>
    </xf>
    <xf numFmtId="0" fontId="10" fillId="0" borderId="10" xfId="0" applyFont="1" applyFill="1" applyBorder="1" applyAlignment="1">
      <alignment horizontal="right" vertical="top" wrapText="1"/>
    </xf>
    <xf numFmtId="3" fontId="10" fillId="0" borderId="17" xfId="0" applyNumberFormat="1" applyFont="1" applyFill="1" applyBorder="1" applyAlignment="1">
      <alignment/>
    </xf>
    <xf numFmtId="0" fontId="10" fillId="0" borderId="18" xfId="0" applyFont="1" applyFill="1" applyBorder="1" applyAlignment="1">
      <alignment vertical="center"/>
    </xf>
    <xf numFmtId="9" fontId="10" fillId="0" borderId="0" xfId="53" applyFont="1" applyFill="1" applyBorder="1" applyAlignment="1">
      <alignment horizontal="left" vertical="center"/>
    </xf>
    <xf numFmtId="0" fontId="10" fillId="0" borderId="0" xfId="53" applyNumberFormat="1" applyFont="1" applyFill="1" applyBorder="1" applyAlignment="1">
      <alignment horizontal="center" vertical="center"/>
    </xf>
    <xf numFmtId="1" fontId="10" fillId="0" borderId="0" xfId="48" applyNumberFormat="1" applyFont="1" applyFill="1" applyBorder="1" applyAlignment="1">
      <alignment horizontal="center" vertical="center"/>
    </xf>
    <xf numFmtId="1" fontId="19" fillId="0" borderId="0" xfId="53" applyNumberFormat="1" applyFont="1" applyFill="1" applyBorder="1" applyAlignment="1">
      <alignment horizontal="center" vertical="center"/>
    </xf>
    <xf numFmtId="9" fontId="10" fillId="0" borderId="0" xfId="53" applyFont="1" applyFill="1" applyBorder="1" applyAlignment="1">
      <alignment horizontal="center" vertical="center"/>
    </xf>
    <xf numFmtId="9" fontId="19" fillId="0" borderId="0" xfId="53" applyFont="1" applyBorder="1" applyAlignment="1">
      <alignment/>
    </xf>
    <xf numFmtId="9" fontId="19" fillId="0" borderId="0" xfId="53" applyFont="1" applyFill="1" applyBorder="1" applyAlignment="1">
      <alignment horizontal="right" vertical="center"/>
    </xf>
    <xf numFmtId="0" fontId="10" fillId="0" borderId="0" xfId="0" applyFont="1" applyFill="1" applyBorder="1" applyAlignment="1">
      <alignment horizontal="right" vertical="top" wrapText="1"/>
    </xf>
    <xf numFmtId="3" fontId="10" fillId="0" borderId="0" xfId="0" applyNumberFormat="1" applyFont="1" applyFill="1" applyBorder="1" applyAlignment="1">
      <alignment/>
    </xf>
    <xf numFmtId="0" fontId="10" fillId="0" borderId="0" xfId="0" applyFont="1" applyFill="1" applyBorder="1" applyAlignment="1">
      <alignment vertical="top"/>
    </xf>
    <xf numFmtId="0" fontId="10" fillId="0" borderId="0" xfId="0" applyFont="1" applyFill="1" applyBorder="1" applyAlignment="1">
      <alignment vertical="top" wrapText="1"/>
    </xf>
    <xf numFmtId="0" fontId="27" fillId="0" borderId="0" xfId="0" applyFont="1" applyFill="1" applyBorder="1" applyAlignment="1">
      <alignment horizontal="left"/>
    </xf>
    <xf numFmtId="3" fontId="10" fillId="0" borderId="0" xfId="0" applyNumberFormat="1" applyFont="1" applyFill="1" applyBorder="1" applyAlignment="1">
      <alignment horizontal="left"/>
    </xf>
    <xf numFmtId="0" fontId="27" fillId="0" borderId="0" xfId="0" applyFont="1" applyFill="1" applyBorder="1" applyAlignment="1">
      <alignment vertical="top"/>
    </xf>
    <xf numFmtId="3" fontId="10" fillId="0" borderId="0" xfId="0" applyNumberFormat="1" applyFont="1" applyFill="1" applyAlignment="1">
      <alignment horizontal="left"/>
    </xf>
    <xf numFmtId="0" fontId="27" fillId="0" borderId="0" xfId="0" applyFont="1" applyAlignment="1">
      <alignment/>
    </xf>
    <xf numFmtId="0" fontId="28" fillId="0" borderId="0" xfId="0" applyFont="1" applyAlignment="1" applyProtection="1">
      <alignment/>
      <protection locked="0"/>
    </xf>
    <xf numFmtId="0" fontId="8" fillId="0" borderId="0" xfId="0" applyFont="1" applyAlignment="1">
      <alignment/>
    </xf>
    <xf numFmtId="0" fontId="27" fillId="0" borderId="0" xfId="0" applyFont="1" applyFill="1" applyBorder="1" applyAlignment="1">
      <alignment horizontal="left" vertical="center"/>
    </xf>
    <xf numFmtId="15" fontId="10" fillId="0" borderId="19" xfId="0" applyNumberFormat="1" applyFont="1" applyBorder="1" applyAlignment="1">
      <alignment horizontal="justify" vertical="top" wrapText="1"/>
    </xf>
    <xf numFmtId="0" fontId="27" fillId="0" borderId="0" xfId="0" applyFont="1" applyFill="1" applyBorder="1" applyAlignment="1">
      <alignment horizontal="justify" vertical="top" wrapText="1"/>
    </xf>
    <xf numFmtId="0" fontId="25" fillId="0" borderId="0" xfId="0" applyFont="1" applyAlignment="1">
      <alignment horizontal="left"/>
    </xf>
    <xf numFmtId="169" fontId="27" fillId="0" borderId="0" xfId="0" applyNumberFormat="1" applyFont="1" applyFill="1" applyAlignment="1">
      <alignment horizontal="center" vertical="top" wrapText="1"/>
    </xf>
    <xf numFmtId="3" fontId="10" fillId="0" borderId="20" xfId="0" applyNumberFormat="1" applyFont="1" applyFill="1" applyBorder="1" applyAlignment="1">
      <alignment horizontal="center"/>
    </xf>
    <xf numFmtId="3" fontId="10" fillId="0" borderId="21" xfId="0" applyNumberFormat="1" applyFont="1" applyFill="1" applyBorder="1" applyAlignment="1">
      <alignment/>
    </xf>
    <xf numFmtId="0" fontId="27" fillId="0" borderId="21" xfId="0" applyFont="1" applyFill="1" applyBorder="1" applyAlignment="1">
      <alignment vertical="top"/>
    </xf>
    <xf numFmtId="0" fontId="10" fillId="0" borderId="21" xfId="0" applyFont="1" applyFill="1" applyBorder="1" applyAlignment="1">
      <alignment horizontal="right" vertical="top" wrapText="1"/>
    </xf>
    <xf numFmtId="3" fontId="10" fillId="0" borderId="22" xfId="0" applyNumberFormat="1" applyFont="1" applyFill="1" applyBorder="1" applyAlignment="1">
      <alignment/>
    </xf>
    <xf numFmtId="0" fontId="8" fillId="0" borderId="15" xfId="0" applyFont="1" applyBorder="1" applyAlignment="1">
      <alignment/>
    </xf>
    <xf numFmtId="0" fontId="8" fillId="0" borderId="0" xfId="0" applyFont="1" applyBorder="1" applyAlignment="1">
      <alignment/>
    </xf>
    <xf numFmtId="0" fontId="8" fillId="0" borderId="0" xfId="0" applyFont="1" applyFill="1" applyBorder="1" applyAlignment="1">
      <alignment vertical="center"/>
    </xf>
    <xf numFmtId="0" fontId="25" fillId="0" borderId="16" xfId="0" applyFont="1" applyBorder="1" applyAlignment="1">
      <alignment/>
    </xf>
    <xf numFmtId="0" fontId="10" fillId="34" borderId="15" xfId="0" applyFont="1" applyFill="1" applyBorder="1" applyAlignment="1">
      <alignment horizontal="left" vertical="top" wrapText="1"/>
    </xf>
    <xf numFmtId="0" fontId="10" fillId="34" borderId="0" xfId="0" applyFont="1" applyFill="1" applyBorder="1" applyAlignment="1">
      <alignment horizontal="center" vertical="top" wrapText="1"/>
    </xf>
    <xf numFmtId="9" fontId="10" fillId="34" borderId="0" xfId="53" applyFont="1" applyFill="1" applyBorder="1" applyAlignment="1">
      <alignment horizontal="left" vertical="center"/>
    </xf>
    <xf numFmtId="9" fontId="27" fillId="34" borderId="0" xfId="53" applyFont="1" applyFill="1" applyBorder="1" applyAlignment="1">
      <alignment horizontal="left" vertical="center" wrapText="1"/>
    </xf>
    <xf numFmtId="0" fontId="10" fillId="34" borderId="16" xfId="0" applyFont="1" applyFill="1" applyBorder="1" applyAlignment="1">
      <alignment horizontal="right" vertical="top" wrapText="1"/>
    </xf>
    <xf numFmtId="3" fontId="10" fillId="0" borderId="23" xfId="0" applyNumberFormat="1" applyFont="1" applyFill="1" applyBorder="1" applyAlignment="1">
      <alignment horizontal="center"/>
    </xf>
    <xf numFmtId="3" fontId="10" fillId="0" borderId="24" xfId="0" applyNumberFormat="1" applyFont="1" applyFill="1" applyBorder="1" applyAlignment="1">
      <alignment/>
    </xf>
    <xf numFmtId="0" fontId="27" fillId="0" borderId="24" xfId="0" applyFont="1" applyFill="1" applyBorder="1" applyAlignment="1">
      <alignment vertical="top"/>
    </xf>
    <xf numFmtId="0" fontId="10" fillId="0" borderId="24" xfId="0" applyFont="1" applyFill="1" applyBorder="1" applyAlignment="1">
      <alignment horizontal="right" vertical="top" wrapText="1"/>
    </xf>
    <xf numFmtId="0" fontId="10" fillId="0" borderId="24" xfId="0" applyFont="1" applyFill="1" applyBorder="1" applyAlignment="1">
      <alignment vertical="top" wrapText="1"/>
    </xf>
    <xf numFmtId="3" fontId="10" fillId="0" borderId="25" xfId="0" applyNumberFormat="1" applyFont="1" applyFill="1" applyBorder="1" applyAlignment="1">
      <alignment/>
    </xf>
    <xf numFmtId="0" fontId="10" fillId="0" borderId="26" xfId="0" applyFont="1" applyBorder="1" applyAlignment="1">
      <alignment/>
    </xf>
    <xf numFmtId="0" fontId="10" fillId="0" borderId="27" xfId="0" applyFont="1" applyBorder="1" applyAlignment="1">
      <alignment/>
    </xf>
    <xf numFmtId="0" fontId="10" fillId="0" borderId="11"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27" fillId="33" borderId="10" xfId="0" applyFont="1" applyFill="1" applyBorder="1" applyAlignment="1">
      <alignment horizontal="center"/>
    </xf>
    <xf numFmtId="3" fontId="10" fillId="0" borderId="28" xfId="0" applyNumberFormat="1" applyFont="1" applyFill="1" applyBorder="1" applyAlignment="1">
      <alignment/>
    </xf>
    <xf numFmtId="0" fontId="27" fillId="0" borderId="28" xfId="0" applyFont="1" applyFill="1" applyBorder="1" applyAlignment="1">
      <alignment vertical="top"/>
    </xf>
    <xf numFmtId="3" fontId="10" fillId="0" borderId="29" xfId="0" applyNumberFormat="1" applyFont="1" applyFill="1" applyBorder="1" applyAlignment="1">
      <alignment/>
    </xf>
    <xf numFmtId="0" fontId="8" fillId="0" borderId="24" xfId="0" applyFont="1" applyBorder="1" applyAlignment="1">
      <alignment/>
    </xf>
    <xf numFmtId="0" fontId="27" fillId="33" borderId="11" xfId="0" applyFont="1" applyFill="1" applyBorder="1" applyAlignment="1">
      <alignment horizontal="center" vertical="top" wrapText="1"/>
    </xf>
    <xf numFmtId="0" fontId="10" fillId="0" borderId="10" xfId="0" applyFont="1" applyBorder="1" applyAlignment="1" applyProtection="1">
      <alignment horizontal="center" vertical="top" wrapText="1"/>
      <protection locked="0"/>
    </xf>
    <xf numFmtId="0" fontId="20" fillId="0" borderId="0" xfId="0" applyFont="1" applyAlignment="1">
      <alignment/>
    </xf>
    <xf numFmtId="0" fontId="10" fillId="0" borderId="11" xfId="0" applyFont="1" applyBorder="1" applyAlignment="1">
      <alignment/>
    </xf>
    <xf numFmtId="0" fontId="10" fillId="0" borderId="18" xfId="0" applyFont="1" applyBorder="1" applyAlignment="1" applyProtection="1">
      <alignment horizontal="center" vertical="top" wrapText="1"/>
      <protection locked="0"/>
    </xf>
    <xf numFmtId="0" fontId="27" fillId="33" borderId="30" xfId="0" applyFont="1" applyFill="1" applyBorder="1" applyAlignment="1">
      <alignment horizontal="center" vertical="center"/>
    </xf>
    <xf numFmtId="0" fontId="27" fillId="33" borderId="31" xfId="0" applyFont="1" applyFill="1" applyBorder="1" applyAlignment="1">
      <alignment horizontal="center" vertical="center"/>
    </xf>
    <xf numFmtId="0" fontId="27" fillId="33" borderId="31" xfId="0" applyFont="1" applyFill="1" applyBorder="1" applyAlignment="1">
      <alignment horizontal="center" vertical="center" wrapText="1"/>
    </xf>
    <xf numFmtId="0" fontId="27" fillId="33" borderId="32" xfId="0" applyFont="1" applyFill="1" applyBorder="1" applyAlignment="1">
      <alignment horizontal="center" vertical="center" wrapText="1"/>
    </xf>
    <xf numFmtId="0" fontId="10" fillId="0" borderId="0" xfId="0" applyFont="1" applyAlignment="1">
      <alignment wrapText="1"/>
    </xf>
    <xf numFmtId="0" fontId="20" fillId="0" borderId="0" xfId="0" applyFont="1" applyAlignment="1">
      <alignment wrapText="1"/>
    </xf>
    <xf numFmtId="0" fontId="27" fillId="33" borderId="10" xfId="0" applyFont="1" applyFill="1" applyBorder="1" applyAlignment="1">
      <alignment horizontal="center" vertical="top" wrapText="1"/>
    </xf>
    <xf numFmtId="0" fontId="27" fillId="33" borderId="17" xfId="0" applyFont="1" applyFill="1" applyBorder="1" applyAlignment="1">
      <alignment horizontal="center" vertical="top" wrapText="1"/>
    </xf>
    <xf numFmtId="0" fontId="10" fillId="0" borderId="17" xfId="0" applyFont="1" applyBorder="1" applyAlignment="1" applyProtection="1">
      <alignment horizontal="left" vertical="top" wrapText="1"/>
      <protection locked="0"/>
    </xf>
    <xf numFmtId="0" fontId="10" fillId="0" borderId="19" xfId="0" applyFont="1" applyBorder="1" applyAlignment="1" applyProtection="1">
      <alignment horizontal="left" vertical="top" wrapText="1"/>
      <protection locked="0"/>
    </xf>
    <xf numFmtId="0" fontId="27" fillId="33" borderId="33" xfId="0" applyFont="1" applyFill="1" applyBorder="1" applyAlignment="1">
      <alignment horizontal="center" vertical="top" wrapText="1"/>
    </xf>
    <xf numFmtId="0" fontId="27" fillId="33" borderId="34" xfId="0" applyFont="1" applyFill="1" applyBorder="1" applyAlignment="1">
      <alignment horizontal="center" vertical="top" wrapText="1"/>
    </xf>
    <xf numFmtId="0" fontId="10" fillId="0" borderId="16" xfId="0" applyFont="1" applyBorder="1" applyAlignment="1">
      <alignment/>
    </xf>
    <xf numFmtId="0" fontId="27" fillId="33" borderId="11" xfId="0" applyFont="1" applyFill="1" applyBorder="1" applyAlignment="1">
      <alignment horizontal="center"/>
    </xf>
    <xf numFmtId="0" fontId="27" fillId="0" borderId="35" xfId="0" applyFont="1" applyBorder="1" applyAlignment="1">
      <alignment/>
    </xf>
    <xf numFmtId="0" fontId="27" fillId="0" borderId="28" xfId="0" applyFont="1" applyBorder="1" applyAlignment="1">
      <alignment/>
    </xf>
    <xf numFmtId="0" fontId="10" fillId="0" borderId="36" xfId="0" applyFont="1" applyBorder="1" applyAlignment="1">
      <alignment/>
    </xf>
    <xf numFmtId="0" fontId="10" fillId="0" borderId="37" xfId="0" applyFont="1" applyBorder="1" applyAlignment="1">
      <alignment/>
    </xf>
    <xf numFmtId="0" fontId="10" fillId="0" borderId="15" xfId="0" applyFont="1" applyBorder="1" applyAlignment="1">
      <alignment/>
    </xf>
    <xf numFmtId="0" fontId="27" fillId="0" borderId="36" xfId="0" applyFont="1" applyBorder="1" applyAlignment="1">
      <alignment/>
    </xf>
    <xf numFmtId="0" fontId="27" fillId="0" borderId="37" xfId="0" applyFont="1" applyBorder="1" applyAlignment="1">
      <alignment/>
    </xf>
    <xf numFmtId="0" fontId="27" fillId="33" borderId="38" xfId="0" applyFont="1" applyFill="1" applyBorder="1" applyAlignment="1">
      <alignment horizontal="center"/>
    </xf>
    <xf numFmtId="8" fontId="27" fillId="0" borderId="39" xfId="0" applyNumberFormat="1" applyFont="1" applyBorder="1" applyAlignment="1">
      <alignment horizontal="center"/>
    </xf>
    <xf numFmtId="0" fontId="27" fillId="0" borderId="0" xfId="0" applyFont="1" applyBorder="1" applyAlignment="1">
      <alignment/>
    </xf>
    <xf numFmtId="0" fontId="27" fillId="33" borderId="40" xfId="0" applyFont="1" applyFill="1" applyBorder="1" applyAlignment="1">
      <alignment horizontal="center" vertical="top" wrapText="1"/>
    </xf>
    <xf numFmtId="0" fontId="27" fillId="35" borderId="11" xfId="0" applyFont="1" applyFill="1" applyBorder="1" applyAlignment="1">
      <alignment horizontal="center" vertical="top" wrapText="1"/>
    </xf>
    <xf numFmtId="0" fontId="27" fillId="35" borderId="12" xfId="0" applyFont="1" applyFill="1" applyBorder="1" applyAlignment="1">
      <alignment horizontal="right" wrapText="1"/>
    </xf>
    <xf numFmtId="0" fontId="27" fillId="35" borderId="19" xfId="0" applyFont="1" applyFill="1" applyBorder="1" applyAlignment="1">
      <alignment horizontal="right" wrapText="1"/>
    </xf>
    <xf numFmtId="8" fontId="27" fillId="0" borderId="29" xfId="0" applyNumberFormat="1" applyFont="1" applyBorder="1" applyAlignment="1">
      <alignment horizontal="center"/>
    </xf>
    <xf numFmtId="167" fontId="10" fillId="0" borderId="10" xfId="66" applyFont="1" applyBorder="1" applyAlignment="1">
      <alignment horizontal="right" wrapText="1"/>
    </xf>
    <xf numFmtId="167" fontId="27" fillId="35" borderId="10" xfId="66" applyFont="1" applyFill="1" applyBorder="1" applyAlignment="1">
      <alignment horizontal="right" wrapText="1"/>
    </xf>
    <xf numFmtId="167" fontId="27" fillId="35" borderId="41" xfId="66" applyFont="1" applyFill="1" applyBorder="1" applyAlignment="1">
      <alignment horizontal="right" wrapText="1"/>
    </xf>
    <xf numFmtId="8" fontId="10" fillId="0" borderId="37" xfId="0" applyNumberFormat="1" applyFont="1" applyBorder="1" applyAlignment="1">
      <alignment/>
    </xf>
    <xf numFmtId="0" fontId="27" fillId="33" borderId="10" xfId="0" applyFont="1" applyFill="1" applyBorder="1" applyAlignment="1">
      <alignment horizontal="center" wrapText="1"/>
    </xf>
    <xf numFmtId="2" fontId="21" fillId="35" borderId="17" xfId="0" applyNumberFormat="1" applyFont="1" applyFill="1" applyBorder="1" applyAlignment="1">
      <alignment horizontal="right" wrapText="1"/>
    </xf>
    <xf numFmtId="0" fontId="27" fillId="36" borderId="11" xfId="0" applyFont="1" applyFill="1" applyBorder="1" applyAlignment="1">
      <alignment/>
    </xf>
    <xf numFmtId="0" fontId="10" fillId="0" borderId="35" xfId="0" applyFont="1" applyBorder="1" applyAlignment="1">
      <alignment/>
    </xf>
    <xf numFmtId="8" fontId="10" fillId="0" borderId="28" xfId="0" applyNumberFormat="1" applyFont="1" applyBorder="1" applyAlignment="1">
      <alignment/>
    </xf>
    <xf numFmtId="0" fontId="10" fillId="0" borderId="28" xfId="0" applyFont="1" applyBorder="1" applyAlignment="1">
      <alignment/>
    </xf>
    <xf numFmtId="0" fontId="27" fillId="36" borderId="42" xfId="0" applyFont="1" applyFill="1" applyBorder="1" applyAlignment="1">
      <alignment/>
    </xf>
    <xf numFmtId="0" fontId="10" fillId="0" borderId="29" xfId="0" applyFont="1" applyBorder="1" applyAlignment="1">
      <alignment/>
    </xf>
    <xf numFmtId="167" fontId="21" fillId="0" borderId="10" xfId="66" applyFont="1" applyFill="1" applyBorder="1" applyAlignment="1">
      <alignment horizontal="right" wrapText="1"/>
    </xf>
    <xf numFmtId="167" fontId="21" fillId="35" borderId="10" xfId="66" applyFont="1" applyFill="1" applyBorder="1" applyAlignment="1">
      <alignment horizontal="right" wrapText="1"/>
    </xf>
    <xf numFmtId="167" fontId="27" fillId="36" borderId="43" xfId="66" applyFont="1" applyFill="1" applyBorder="1" applyAlignment="1">
      <alignment horizontal="right"/>
    </xf>
    <xf numFmtId="167" fontId="27" fillId="36" borderId="10" xfId="66" applyFont="1" applyFill="1" applyBorder="1" applyAlignment="1">
      <alignment horizontal="right"/>
    </xf>
    <xf numFmtId="9" fontId="27" fillId="36" borderId="17" xfId="53" applyFont="1" applyFill="1" applyBorder="1" applyAlignment="1">
      <alignment horizontal="right"/>
    </xf>
    <xf numFmtId="9" fontId="27" fillId="36" borderId="44" xfId="53" applyFont="1" applyFill="1" applyBorder="1" applyAlignment="1">
      <alignment horizontal="right"/>
    </xf>
    <xf numFmtId="0" fontId="10" fillId="0" borderId="45" xfId="0" applyFont="1" applyBorder="1" applyAlignment="1">
      <alignment/>
    </xf>
    <xf numFmtId="0" fontId="10" fillId="0" borderId="46" xfId="0" applyFont="1" applyBorder="1" applyAlignment="1">
      <alignment/>
    </xf>
    <xf numFmtId="0" fontId="10" fillId="0" borderId="47" xfId="0" applyFont="1" applyBorder="1" applyAlignment="1">
      <alignment/>
    </xf>
    <xf numFmtId="0" fontId="10" fillId="0" borderId="17" xfId="0" applyFont="1" applyBorder="1" applyAlignment="1" applyProtection="1">
      <alignment horizontal="center" vertical="top" wrapText="1"/>
      <protection locked="0"/>
    </xf>
    <xf numFmtId="0" fontId="10" fillId="0" borderId="48" xfId="0" applyFont="1" applyBorder="1" applyAlignment="1">
      <alignment/>
    </xf>
    <xf numFmtId="0" fontId="10" fillId="33" borderId="10" xfId="0" applyFont="1" applyFill="1" applyBorder="1" applyAlignment="1">
      <alignment horizontal="center"/>
    </xf>
    <xf numFmtId="0" fontId="10" fillId="0" borderId="10" xfId="0" applyFont="1" applyBorder="1" applyAlignment="1" applyProtection="1">
      <alignment horizontal="right" vertical="top" wrapText="1"/>
      <protection locked="0"/>
    </xf>
    <xf numFmtId="0" fontId="10" fillId="0" borderId="49" xfId="0" applyFont="1" applyBorder="1" applyAlignment="1">
      <alignment/>
    </xf>
    <xf numFmtId="0" fontId="10" fillId="0" borderId="50" xfId="0" applyFont="1" applyBorder="1" applyAlignment="1">
      <alignment/>
    </xf>
    <xf numFmtId="0" fontId="10" fillId="0" borderId="51" xfId="0" applyFont="1" applyBorder="1" applyAlignment="1">
      <alignment/>
    </xf>
    <xf numFmtId="0" fontId="27" fillId="33" borderId="17" xfId="0" applyFont="1" applyFill="1" applyBorder="1" applyAlignment="1">
      <alignment horizontal="center" wrapText="1"/>
    </xf>
    <xf numFmtId="0" fontId="29" fillId="36" borderId="10" xfId="0" applyFont="1" applyFill="1" applyBorder="1" applyAlignment="1">
      <alignment horizontal="center" vertical="top" wrapText="1"/>
    </xf>
    <xf numFmtId="0" fontId="27" fillId="33" borderId="14" xfId="0" applyFont="1" applyFill="1" applyBorder="1" applyAlignment="1">
      <alignment horizontal="center" vertical="top" wrapText="1"/>
    </xf>
    <xf numFmtId="0" fontId="10" fillId="0" borderId="10" xfId="0" applyFont="1" applyBorder="1" applyAlignment="1">
      <alignment vertical="top" wrapText="1"/>
    </xf>
    <xf numFmtId="0" fontId="27" fillId="0" borderId="10" xfId="0" applyFont="1" applyBorder="1" applyAlignment="1">
      <alignment horizontal="left"/>
    </xf>
    <xf numFmtId="0" fontId="26" fillId="0" borderId="10" xfId="0" applyFont="1" applyBorder="1" applyAlignment="1">
      <alignment/>
    </xf>
    <xf numFmtId="0" fontId="27" fillId="33" borderId="52" xfId="0" applyFont="1" applyFill="1" applyBorder="1" applyAlignment="1">
      <alignment horizontal="left" vertical="top" wrapText="1"/>
    </xf>
    <xf numFmtId="0" fontId="27" fillId="33" borderId="53" xfId="0" applyFont="1" applyFill="1" applyBorder="1" applyAlignment="1">
      <alignment horizontal="left" vertical="top" wrapText="1"/>
    </xf>
    <xf numFmtId="0" fontId="27" fillId="33" borderId="54" xfId="0" applyFont="1" applyFill="1" applyBorder="1" applyAlignment="1">
      <alignment vertical="center"/>
    </xf>
    <xf numFmtId="0" fontId="27" fillId="33" borderId="55" xfId="0" applyFont="1" applyFill="1" applyBorder="1" applyAlignment="1">
      <alignment vertical="center"/>
    </xf>
    <xf numFmtId="0" fontId="8" fillId="0" borderId="46" xfId="0" applyFont="1" applyFill="1" applyBorder="1" applyAlignment="1">
      <alignment horizontal="left" vertical="center"/>
    </xf>
    <xf numFmtId="0" fontId="8" fillId="0" borderId="47" xfId="0" applyFont="1" applyFill="1" applyBorder="1" applyAlignment="1">
      <alignment horizontal="left" vertical="center"/>
    </xf>
    <xf numFmtId="0" fontId="27" fillId="36" borderId="42" xfId="0" applyFont="1" applyFill="1" applyBorder="1" applyAlignment="1">
      <alignment horizontal="center"/>
    </xf>
    <xf numFmtId="3" fontId="10" fillId="0" borderId="0" xfId="0" applyNumberFormat="1" applyFont="1" applyFill="1" applyBorder="1" applyAlignment="1">
      <alignment horizontal="center"/>
    </xf>
    <xf numFmtId="0" fontId="27" fillId="0" borderId="15" xfId="0" applyFont="1" applyBorder="1" applyAlignment="1">
      <alignment/>
    </xf>
    <xf numFmtId="8" fontId="27" fillId="0" borderId="16" xfId="0" applyNumberFormat="1" applyFont="1" applyBorder="1" applyAlignment="1">
      <alignment/>
    </xf>
    <xf numFmtId="3" fontId="10" fillId="0" borderId="21" xfId="0" applyNumberFormat="1" applyFont="1" applyFill="1" applyBorder="1" applyAlignment="1">
      <alignment horizontal="center"/>
    </xf>
    <xf numFmtId="0" fontId="25" fillId="0" borderId="56" xfId="0" applyFont="1" applyFill="1" applyBorder="1" applyAlignment="1">
      <alignment horizontal="center" vertical="top" wrapText="1"/>
    </xf>
    <xf numFmtId="3" fontId="25" fillId="0" borderId="56" xfId="0" applyNumberFormat="1" applyFont="1" applyFill="1" applyBorder="1" applyAlignment="1">
      <alignment vertical="top" wrapText="1"/>
    </xf>
    <xf numFmtId="0" fontId="25" fillId="0" borderId="10" xfId="0" applyFont="1" applyFill="1" applyBorder="1" applyAlignment="1">
      <alignment horizontal="left" vertical="top" wrapText="1"/>
    </xf>
    <xf numFmtId="0" fontId="25" fillId="0" borderId="10" xfId="0" applyFont="1" applyFill="1" applyBorder="1" applyAlignment="1">
      <alignment horizontal="center" vertical="top" wrapText="1"/>
    </xf>
    <xf numFmtId="0" fontId="25" fillId="0" borderId="10" xfId="0" applyFont="1" applyBorder="1" applyAlignment="1">
      <alignment horizontal="center" vertical="top" wrapText="1"/>
    </xf>
    <xf numFmtId="9" fontId="25" fillId="0" borderId="10" xfId="53" applyFont="1" applyFill="1" applyBorder="1" applyAlignment="1">
      <alignment horizontal="center" vertical="center" wrapText="1"/>
    </xf>
    <xf numFmtId="3" fontId="25" fillId="0" borderId="10" xfId="0" applyNumberFormat="1" applyFont="1" applyBorder="1" applyAlignment="1">
      <alignment horizontal="center" vertical="top" wrapText="1"/>
    </xf>
    <xf numFmtId="3" fontId="25" fillId="0" borderId="10" xfId="0" applyNumberFormat="1" applyFont="1" applyFill="1" applyBorder="1" applyAlignment="1">
      <alignment horizontal="center" vertical="center"/>
    </xf>
    <xf numFmtId="3" fontId="25" fillId="0" borderId="10" xfId="0" applyNumberFormat="1" applyFont="1" applyFill="1" applyBorder="1" applyAlignment="1">
      <alignment vertical="center"/>
    </xf>
    <xf numFmtId="1" fontId="25" fillId="0" borderId="10" xfId="0" applyNumberFormat="1" applyFont="1" applyFill="1" applyBorder="1" applyAlignment="1">
      <alignment vertical="center"/>
    </xf>
    <xf numFmtId="0" fontId="8" fillId="0" borderId="10" xfId="0" applyFont="1" applyFill="1" applyBorder="1" applyAlignment="1">
      <alignment vertical="center"/>
    </xf>
    <xf numFmtId="0" fontId="25" fillId="0" borderId="10" xfId="0" applyFont="1" applyFill="1" applyBorder="1" applyAlignment="1">
      <alignment horizontal="left" vertical="center" wrapText="1"/>
    </xf>
    <xf numFmtId="3" fontId="11" fillId="33" borderId="57"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0" xfId="0" applyFont="1" applyFill="1" applyBorder="1" applyAlignment="1">
      <alignment/>
    </xf>
    <xf numFmtId="3" fontId="12" fillId="0" borderId="10" xfId="0" applyNumberFormat="1" applyFont="1" applyFill="1" applyBorder="1" applyAlignment="1">
      <alignment horizontal="center"/>
    </xf>
    <xf numFmtId="3" fontId="12" fillId="33" borderId="43" xfId="0" applyNumberFormat="1" applyFont="1" applyFill="1" applyBorder="1" applyAlignment="1">
      <alignment horizontal="center"/>
    </xf>
    <xf numFmtId="3" fontId="12" fillId="34" borderId="10" xfId="0" applyNumberFormat="1" applyFont="1" applyFill="1" applyBorder="1" applyAlignment="1">
      <alignment horizontal="center"/>
    </xf>
    <xf numFmtId="0" fontId="12" fillId="0" borderId="10" xfId="0" applyFont="1" applyFill="1" applyBorder="1" applyAlignment="1">
      <alignment/>
    </xf>
    <xf numFmtId="1" fontId="12" fillId="0" borderId="18" xfId="0" applyNumberFormat="1" applyFont="1" applyFill="1" applyBorder="1" applyAlignment="1">
      <alignment horizontal="center" vertical="center" wrapText="1"/>
    </xf>
    <xf numFmtId="0" fontId="12" fillId="0" borderId="41" xfId="0" applyFont="1" applyFill="1" applyBorder="1" applyAlignment="1">
      <alignment horizontal="left" vertical="center" wrapText="1"/>
    </xf>
    <xf numFmtId="3" fontId="12" fillId="34" borderId="10"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xf>
    <xf numFmtId="3" fontId="12" fillId="0" borderId="10" xfId="0" applyNumberFormat="1" applyFont="1" applyFill="1" applyBorder="1" applyAlignment="1">
      <alignment vertical="center"/>
    </xf>
    <xf numFmtId="169" fontId="12" fillId="0" borderId="0" xfId="0"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vertical="center"/>
    </xf>
    <xf numFmtId="169" fontId="12" fillId="0" borderId="58" xfId="0" applyNumberFormat="1" applyFont="1" applyFill="1" applyBorder="1" applyAlignment="1">
      <alignment horizontal="center" vertical="center" wrapText="1"/>
    </xf>
    <xf numFmtId="0" fontId="12" fillId="0" borderId="58" xfId="0" applyFont="1" applyFill="1" applyBorder="1" applyAlignment="1">
      <alignment horizontal="left" vertical="center" wrapText="1"/>
    </xf>
    <xf numFmtId="3" fontId="12" fillId="0" borderId="58" xfId="0" applyNumberFormat="1" applyFont="1" applyFill="1" applyBorder="1" applyAlignment="1">
      <alignment horizontal="center" vertical="center"/>
    </xf>
    <xf numFmtId="3" fontId="12" fillId="33" borderId="58" xfId="0" applyNumberFormat="1" applyFont="1" applyFill="1" applyBorder="1" applyAlignment="1">
      <alignment horizontal="center" vertical="center"/>
    </xf>
    <xf numFmtId="3" fontId="12" fillId="0" borderId="59" xfId="0" applyNumberFormat="1" applyFont="1" applyFill="1" applyBorder="1" applyAlignment="1">
      <alignment horizontal="center" vertical="center"/>
    </xf>
    <xf numFmtId="3" fontId="12" fillId="33" borderId="59" xfId="0" applyNumberFormat="1" applyFont="1" applyFill="1" applyBorder="1" applyAlignment="1">
      <alignment horizontal="center" vertical="center"/>
    </xf>
    <xf numFmtId="3" fontId="12" fillId="0" borderId="0" xfId="0" applyNumberFormat="1" applyFont="1" applyFill="1" applyBorder="1" applyAlignment="1">
      <alignment horizontal="center" vertical="center"/>
    </xf>
    <xf numFmtId="169" fontId="12" fillId="0" borderId="60" xfId="0" applyNumberFormat="1" applyFont="1" applyFill="1" applyBorder="1" applyAlignment="1">
      <alignment horizontal="center" vertical="center" wrapText="1"/>
    </xf>
    <xf numFmtId="0" fontId="11" fillId="0" borderId="60" xfId="0" applyFont="1" applyFill="1" applyBorder="1" applyAlignment="1">
      <alignment horizontal="left" vertical="center" wrapText="1" indent="1"/>
    </xf>
    <xf numFmtId="3" fontId="12" fillId="34" borderId="10" xfId="0" applyNumberFormat="1" applyFont="1" applyFill="1" applyBorder="1" applyAlignment="1">
      <alignment horizontal="center" vertical="center" wrapText="1"/>
    </xf>
    <xf numFmtId="0" fontId="12" fillId="0" borderId="10" xfId="0" applyFont="1" applyFill="1" applyBorder="1" applyAlignment="1">
      <alignment vertical="center"/>
    </xf>
    <xf numFmtId="0" fontId="11" fillId="0" borderId="0" xfId="0" applyFont="1" applyFill="1" applyBorder="1" applyAlignment="1">
      <alignment vertical="center"/>
    </xf>
    <xf numFmtId="3" fontId="13" fillId="34" borderId="10" xfId="0" applyNumberFormat="1" applyFont="1" applyFill="1" applyBorder="1" applyAlignment="1">
      <alignment horizontal="center" vertical="center" wrapText="1"/>
    </xf>
    <xf numFmtId="0" fontId="13" fillId="0" borderId="10" xfId="0" applyFont="1" applyFill="1" applyBorder="1" applyAlignment="1">
      <alignment vertical="center"/>
    </xf>
    <xf numFmtId="0" fontId="30" fillId="0" borderId="0" xfId="0" applyFont="1" applyFill="1" applyBorder="1" applyAlignment="1">
      <alignment vertical="center"/>
    </xf>
    <xf numFmtId="169" fontId="12" fillId="0" borderId="10" xfId="0" applyNumberFormat="1" applyFont="1" applyFill="1" applyBorder="1" applyAlignment="1">
      <alignment horizontal="center" vertical="center" wrapText="1"/>
    </xf>
    <xf numFmtId="3" fontId="11" fillId="0" borderId="60" xfId="0" applyNumberFormat="1" applyFont="1" applyFill="1" applyBorder="1" applyAlignment="1">
      <alignment horizontal="center" vertical="center" wrapText="1"/>
    </xf>
    <xf numFmtId="0" fontId="11" fillId="0" borderId="61" xfId="0" applyFont="1" applyBorder="1" applyAlignment="1">
      <alignment horizontal="center" vertical="center" wrapText="1"/>
    </xf>
    <xf numFmtId="3" fontId="12" fillId="33" borderId="60" xfId="0" applyNumberFormat="1" applyFont="1" applyFill="1" applyBorder="1" applyAlignment="1">
      <alignment horizontal="center" vertical="center" wrapText="1"/>
    </xf>
    <xf numFmtId="9" fontId="11" fillId="0" borderId="62" xfId="53" applyFont="1" applyFill="1" applyBorder="1" applyAlignment="1">
      <alignment horizontal="center" vertical="center" wrapText="1"/>
    </xf>
    <xf numFmtId="0" fontId="12" fillId="0" borderId="60" xfId="0" applyFont="1" applyFill="1" applyBorder="1" applyAlignment="1">
      <alignment horizontal="left" vertical="center" wrapText="1"/>
    </xf>
    <xf numFmtId="1" fontId="11" fillId="0" borderId="62" xfId="53" applyNumberFormat="1" applyFont="1" applyFill="1" applyBorder="1" applyAlignment="1">
      <alignment horizontal="center" vertical="center" wrapText="1"/>
    </xf>
    <xf numFmtId="169" fontId="12" fillId="0" borderId="62" xfId="0" applyNumberFormat="1" applyFont="1" applyFill="1" applyBorder="1" applyAlignment="1">
      <alignment horizontal="center" vertical="center" wrapText="1"/>
    </xf>
    <xf numFmtId="9" fontId="11" fillId="0" borderId="63" xfId="53" applyFont="1" applyFill="1" applyBorder="1" applyAlignment="1">
      <alignment horizontal="center" vertical="center" wrapText="1"/>
    </xf>
    <xf numFmtId="3" fontId="11" fillId="0" borderId="63" xfId="0" applyNumberFormat="1" applyFont="1" applyFill="1" applyBorder="1" applyAlignment="1">
      <alignment horizontal="center" vertical="center" wrapText="1"/>
    </xf>
    <xf numFmtId="0" fontId="11" fillId="0" borderId="64" xfId="0" applyFont="1" applyBorder="1" applyAlignment="1">
      <alignment horizontal="center" vertical="center" wrapText="1"/>
    </xf>
    <xf numFmtId="3" fontId="12" fillId="33" borderId="63" xfId="0" applyNumberFormat="1" applyFont="1" applyFill="1" applyBorder="1" applyAlignment="1">
      <alignment horizontal="center" vertical="center" wrapText="1"/>
    </xf>
    <xf numFmtId="9" fontId="11" fillId="0" borderId="65" xfId="53" applyFont="1" applyFill="1" applyBorder="1" applyAlignment="1">
      <alignment horizontal="center" vertical="center" wrapText="1"/>
    </xf>
    <xf numFmtId="9" fontId="11" fillId="0" borderId="57" xfId="53" applyFont="1" applyFill="1" applyBorder="1" applyAlignment="1">
      <alignment horizontal="center" vertical="center" wrapText="1"/>
    </xf>
    <xf numFmtId="9" fontId="11" fillId="0" borderId="60" xfId="53" applyFont="1" applyFill="1" applyBorder="1" applyAlignment="1">
      <alignment horizontal="center" vertical="center" wrapText="1"/>
    </xf>
    <xf numFmtId="3" fontId="11" fillId="0" borderId="58" xfId="0" applyNumberFormat="1" applyFont="1" applyFill="1" applyBorder="1" applyAlignment="1">
      <alignment horizontal="center" vertical="center" wrapText="1"/>
    </xf>
    <xf numFmtId="0" fontId="11" fillId="0" borderId="59" xfId="0" applyFont="1" applyBorder="1" applyAlignment="1">
      <alignment horizontal="center" vertical="center" wrapText="1"/>
    </xf>
    <xf numFmtId="3" fontId="12" fillId="33" borderId="58" xfId="0" applyNumberFormat="1" applyFont="1" applyFill="1" applyBorder="1" applyAlignment="1">
      <alignment horizontal="center" vertical="center" wrapText="1"/>
    </xf>
    <xf numFmtId="0" fontId="11" fillId="0" borderId="0" xfId="0" applyFont="1" applyFill="1" applyBorder="1" applyAlignment="1">
      <alignment vertical="center" wrapText="1"/>
    </xf>
    <xf numFmtId="3" fontId="11" fillId="0" borderId="0" xfId="0" applyNumberFormat="1" applyFont="1" applyFill="1" applyBorder="1" applyAlignment="1">
      <alignment horizontal="center" vertical="center"/>
    </xf>
    <xf numFmtId="9" fontId="11" fillId="0" borderId="0" xfId="53" applyFont="1" applyFill="1" applyBorder="1" applyAlignment="1">
      <alignment horizontal="right" vertical="center"/>
    </xf>
    <xf numFmtId="9" fontId="12" fillId="0" borderId="0" xfId="53" applyFont="1" applyFill="1" applyBorder="1" applyAlignment="1">
      <alignment horizontal="right" vertical="center"/>
    </xf>
    <xf numFmtId="3" fontId="12" fillId="34" borderId="0" xfId="0" applyNumberFormat="1" applyFont="1" applyFill="1" applyBorder="1" applyAlignment="1">
      <alignment horizontal="center" vertical="center"/>
    </xf>
    <xf numFmtId="0" fontId="11" fillId="0" borderId="24" xfId="0" applyFont="1" applyFill="1" applyBorder="1" applyAlignment="1">
      <alignment vertical="center"/>
    </xf>
    <xf numFmtId="0" fontId="11" fillId="0" borderId="66" xfId="0" applyFont="1" applyFill="1" applyBorder="1" applyAlignment="1">
      <alignment vertical="center"/>
    </xf>
    <xf numFmtId="3" fontId="12" fillId="0" borderId="67" xfId="0" applyNumberFormat="1" applyFont="1" applyFill="1" applyBorder="1" applyAlignment="1">
      <alignment horizontal="center"/>
    </xf>
    <xf numFmtId="175" fontId="12" fillId="0" borderId="60" xfId="0" applyNumberFormat="1" applyFont="1" applyFill="1" applyBorder="1" applyAlignment="1">
      <alignment horizontal="right"/>
    </xf>
    <xf numFmtId="175" fontId="12" fillId="33" borderId="60" xfId="0" applyNumberFormat="1" applyFont="1" applyFill="1" applyBorder="1" applyAlignment="1">
      <alignment horizontal="right"/>
    </xf>
    <xf numFmtId="9" fontId="12" fillId="0" borderId="68" xfId="53" applyNumberFormat="1" applyFont="1" applyFill="1" applyBorder="1" applyAlignment="1">
      <alignment horizontal="right"/>
    </xf>
    <xf numFmtId="9" fontId="12" fillId="33" borderId="69" xfId="53" applyFont="1" applyFill="1" applyBorder="1" applyAlignment="1">
      <alignment horizontal="right"/>
    </xf>
    <xf numFmtId="9" fontId="12" fillId="33" borderId="61" xfId="53" applyFont="1" applyFill="1" applyBorder="1" applyAlignment="1">
      <alignment horizontal="right"/>
    </xf>
    <xf numFmtId="0" fontId="12" fillId="0" borderId="0" xfId="0" applyFont="1" applyAlignment="1">
      <alignment/>
    </xf>
    <xf numFmtId="0" fontId="11" fillId="0" borderId="60" xfId="0" applyFont="1" applyFill="1" applyBorder="1" applyAlignment="1">
      <alignment horizontal="left" vertical="center" wrapText="1"/>
    </xf>
    <xf numFmtId="175" fontId="11" fillId="0" borderId="60" xfId="0" applyNumberFormat="1" applyFont="1" applyFill="1" applyBorder="1" applyAlignment="1">
      <alignment horizontal="right"/>
    </xf>
    <xf numFmtId="9" fontId="11" fillId="0" borderId="69" xfId="53" applyNumberFormat="1" applyFont="1" applyFill="1" applyBorder="1" applyAlignment="1">
      <alignment horizontal="right"/>
    </xf>
    <xf numFmtId="0" fontId="12" fillId="0" borderId="62" xfId="0" applyFont="1" applyFill="1" applyBorder="1" applyAlignment="1">
      <alignment horizontal="left" vertical="center" wrapText="1"/>
    </xf>
    <xf numFmtId="175" fontId="12" fillId="0" borderId="62" xfId="0" applyNumberFormat="1" applyFont="1" applyFill="1" applyBorder="1" applyAlignment="1">
      <alignment horizontal="right"/>
    </xf>
    <xf numFmtId="175" fontId="12" fillId="33" borderId="62" xfId="0" applyNumberFormat="1" applyFont="1" applyFill="1" applyBorder="1" applyAlignment="1">
      <alignment horizontal="right"/>
    </xf>
    <xf numFmtId="3" fontId="12" fillId="33" borderId="62" xfId="0" applyNumberFormat="1" applyFont="1" applyFill="1" applyBorder="1" applyAlignment="1">
      <alignment horizontal="right"/>
    </xf>
    <xf numFmtId="9" fontId="12" fillId="0" borderId="69" xfId="53" applyNumberFormat="1" applyFont="1" applyFill="1" applyBorder="1" applyAlignment="1">
      <alignment horizontal="right"/>
    </xf>
    <xf numFmtId="175" fontId="11" fillId="0" borderId="62" xfId="0" applyNumberFormat="1" applyFont="1" applyFill="1" applyBorder="1" applyAlignment="1">
      <alignment horizontal="right"/>
    </xf>
    <xf numFmtId="0" fontId="11" fillId="0" borderId="62" xfId="0" applyFont="1" applyFill="1" applyBorder="1" applyAlignment="1">
      <alignment horizontal="left" vertical="center" wrapText="1"/>
    </xf>
    <xf numFmtId="9" fontId="11" fillId="0" borderId="68" xfId="53" applyNumberFormat="1" applyFont="1" applyFill="1" applyBorder="1" applyAlignment="1">
      <alignment horizontal="right"/>
    </xf>
    <xf numFmtId="3" fontId="12" fillId="33" borderId="70" xfId="0" applyNumberFormat="1" applyFont="1" applyFill="1" applyBorder="1" applyAlignment="1">
      <alignment horizontal="right"/>
    </xf>
    <xf numFmtId="0" fontId="11" fillId="0" borderId="63" xfId="0" applyFont="1" applyFill="1" applyBorder="1" applyAlignment="1">
      <alignment horizontal="left" vertical="center" wrapText="1"/>
    </xf>
    <xf numFmtId="175" fontId="11" fillId="0" borderId="63" xfId="0" applyNumberFormat="1" applyFont="1" applyFill="1" applyBorder="1" applyAlignment="1">
      <alignment horizontal="right"/>
    </xf>
    <xf numFmtId="175" fontId="12" fillId="33" borderId="63" xfId="0" applyNumberFormat="1" applyFont="1" applyFill="1" applyBorder="1" applyAlignment="1">
      <alignment horizontal="right"/>
    </xf>
    <xf numFmtId="3" fontId="12" fillId="33" borderId="63" xfId="0" applyNumberFormat="1" applyFont="1" applyFill="1" applyBorder="1" applyAlignment="1">
      <alignment horizontal="right"/>
    </xf>
    <xf numFmtId="9" fontId="11" fillId="0" borderId="71" xfId="53" applyNumberFormat="1" applyFont="1" applyFill="1" applyBorder="1" applyAlignment="1">
      <alignment horizontal="right"/>
    </xf>
    <xf numFmtId="3" fontId="12" fillId="33" borderId="64" xfId="0" applyNumberFormat="1" applyFont="1" applyFill="1" applyBorder="1" applyAlignment="1">
      <alignment horizontal="right"/>
    </xf>
    <xf numFmtId="0" fontId="12" fillId="0" borderId="63" xfId="0" applyFont="1" applyFill="1" applyBorder="1" applyAlignment="1">
      <alignment horizontal="center" vertical="center" wrapText="1"/>
    </xf>
    <xf numFmtId="175" fontId="13" fillId="0" borderId="63" xfId="0" applyNumberFormat="1" applyFont="1" applyFill="1" applyBorder="1" applyAlignment="1">
      <alignment horizontal="right"/>
    </xf>
    <xf numFmtId="175" fontId="12" fillId="0" borderId="63" xfId="0" applyNumberFormat="1" applyFont="1" applyFill="1" applyBorder="1" applyAlignment="1">
      <alignment horizontal="right"/>
    </xf>
    <xf numFmtId="0" fontId="12" fillId="0" borderId="63" xfId="0" applyFont="1" applyFill="1" applyBorder="1" applyAlignment="1">
      <alignment horizontal="right" vertical="center" wrapText="1"/>
    </xf>
    <xf numFmtId="0" fontId="12" fillId="0" borderId="65" xfId="0" applyFont="1" applyFill="1" applyBorder="1" applyAlignment="1">
      <alignment horizontal="right" vertical="center" wrapText="1"/>
    </xf>
    <xf numFmtId="175" fontId="12" fillId="33" borderId="65" xfId="0" applyNumberFormat="1" applyFont="1" applyFill="1" applyBorder="1" applyAlignment="1">
      <alignment horizontal="right"/>
    </xf>
    <xf numFmtId="175" fontId="11" fillId="0" borderId="65" xfId="0" applyNumberFormat="1" applyFont="1" applyFill="1" applyBorder="1" applyAlignment="1">
      <alignment horizontal="right"/>
    </xf>
    <xf numFmtId="3" fontId="12" fillId="33" borderId="65" xfId="0" applyNumberFormat="1" applyFont="1" applyFill="1" applyBorder="1" applyAlignment="1">
      <alignment horizontal="right"/>
    </xf>
    <xf numFmtId="9" fontId="11" fillId="0" borderId="72" xfId="53" applyNumberFormat="1" applyFont="1" applyFill="1" applyBorder="1" applyAlignment="1">
      <alignment horizontal="right"/>
    </xf>
    <xf numFmtId="3" fontId="12" fillId="33" borderId="73" xfId="0" applyNumberFormat="1" applyFont="1" applyFill="1" applyBorder="1" applyAlignment="1">
      <alignment horizontal="right"/>
    </xf>
    <xf numFmtId="3" fontId="12" fillId="0" borderId="40" xfId="0" applyNumberFormat="1" applyFont="1" applyFill="1" applyBorder="1" applyAlignment="1" quotePrefix="1">
      <alignment horizontal="center"/>
    </xf>
    <xf numFmtId="3" fontId="13" fillId="0" borderId="37" xfId="0" applyNumberFormat="1" applyFont="1" applyFill="1" applyBorder="1" applyAlignment="1" quotePrefix="1">
      <alignment horizontal="center"/>
    </xf>
    <xf numFmtId="3" fontId="13" fillId="0" borderId="40" xfId="0" applyNumberFormat="1" applyFont="1" applyFill="1" applyBorder="1" applyAlignment="1">
      <alignment horizontal="center"/>
    </xf>
    <xf numFmtId="3" fontId="13" fillId="33" borderId="37" xfId="0" applyNumberFormat="1" applyFont="1" applyFill="1" applyBorder="1" applyAlignment="1">
      <alignment horizontal="center"/>
    </xf>
    <xf numFmtId="3" fontId="13" fillId="0" borderId="37" xfId="0" applyNumberFormat="1" applyFont="1" applyFill="1" applyBorder="1" applyAlignment="1">
      <alignment horizontal="center"/>
    </xf>
    <xf numFmtId="3" fontId="13" fillId="0" borderId="74" xfId="0" applyNumberFormat="1" applyFont="1" applyFill="1" applyBorder="1" applyAlignment="1">
      <alignment horizontal="center"/>
    </xf>
    <xf numFmtId="3" fontId="13" fillId="33" borderId="75" xfId="0" applyNumberFormat="1" applyFont="1" applyFill="1" applyBorder="1" applyAlignment="1">
      <alignment horizontal="center"/>
    </xf>
    <xf numFmtId="3" fontId="13" fillId="33" borderId="74" xfId="0" applyNumberFormat="1" applyFont="1" applyFill="1" applyBorder="1" applyAlignment="1">
      <alignment horizontal="center"/>
    </xf>
    <xf numFmtId="0" fontId="30" fillId="0" borderId="0" xfId="0" applyFont="1" applyAlignment="1">
      <alignment/>
    </xf>
    <xf numFmtId="0" fontId="30" fillId="0" borderId="0" xfId="0" applyFont="1" applyFill="1" applyBorder="1" applyAlignment="1">
      <alignment vertical="center"/>
    </xf>
    <xf numFmtId="0" fontId="27" fillId="33" borderId="38" xfId="0" applyFont="1" applyFill="1" applyBorder="1" applyAlignment="1">
      <alignment horizontal="center" vertical="top" wrapText="1"/>
    </xf>
    <xf numFmtId="3" fontId="11" fillId="33" borderId="62" xfId="0" applyNumberFormat="1" applyFont="1" applyFill="1" applyBorder="1" applyAlignment="1">
      <alignment horizontal="center" vertical="center" wrapText="1"/>
    </xf>
    <xf numFmtId="0" fontId="27" fillId="35" borderId="11" xfId="0" applyFont="1" applyFill="1" applyBorder="1" applyAlignment="1">
      <alignment horizontal="center"/>
    </xf>
    <xf numFmtId="14" fontId="31" fillId="0" borderId="33" xfId="0" applyNumberFormat="1" applyFont="1" applyFill="1" applyBorder="1" applyAlignment="1">
      <alignment horizontal="center" vertical="center" wrapText="1"/>
    </xf>
    <xf numFmtId="0" fontId="17" fillId="0" borderId="76" xfId="0" applyFont="1" applyFill="1" applyBorder="1" applyAlignment="1">
      <alignment horizontal="left" vertical="center" wrapText="1"/>
    </xf>
    <xf numFmtId="14" fontId="31" fillId="0" borderId="10" xfId="0" applyNumberFormat="1" applyFont="1" applyFill="1" applyBorder="1" applyAlignment="1">
      <alignment horizontal="center" vertical="center" wrapText="1"/>
    </xf>
    <xf numFmtId="14" fontId="11" fillId="0" borderId="10" xfId="0" applyNumberFormat="1" applyFont="1" applyBorder="1" applyAlignment="1">
      <alignment horizontal="center" vertical="top" wrapText="1"/>
    </xf>
    <xf numFmtId="0" fontId="11" fillId="0" borderId="10" xfId="0" applyFont="1" applyBorder="1" applyAlignment="1">
      <alignment horizontal="center" vertical="top"/>
    </xf>
    <xf numFmtId="0" fontId="11" fillId="0" borderId="14" xfId="0" applyFont="1" applyBorder="1" applyAlignment="1">
      <alignment horizontal="justify" vertical="top"/>
    </xf>
    <xf numFmtId="14" fontId="31" fillId="34" borderId="10" xfId="0" applyNumberFormat="1" applyFont="1" applyFill="1" applyBorder="1" applyAlignment="1">
      <alignment horizontal="center" vertical="center" wrapText="1"/>
    </xf>
    <xf numFmtId="14" fontId="11" fillId="0" borderId="10" xfId="0" applyNumberFormat="1" applyFont="1" applyBorder="1" applyAlignment="1">
      <alignment horizontal="center"/>
    </xf>
    <xf numFmtId="0" fontId="11" fillId="0" borderId="10" xfId="0" applyFont="1" applyBorder="1" applyAlignment="1">
      <alignment/>
    </xf>
    <xf numFmtId="0" fontId="11" fillId="0" borderId="17" xfId="0" applyFont="1" applyBorder="1" applyAlignment="1">
      <alignment horizontal="justify" vertical="top"/>
    </xf>
    <xf numFmtId="0" fontId="11" fillId="0" borderId="10" xfId="0" applyFont="1" applyBorder="1" applyAlignment="1">
      <alignment horizontal="center" vertical="top" wrapText="1"/>
    </xf>
    <xf numFmtId="0" fontId="31" fillId="0" borderId="10" xfId="0" applyFont="1" applyFill="1" applyBorder="1" applyAlignment="1">
      <alignment horizontal="center" vertical="center" wrapText="1"/>
    </xf>
    <xf numFmtId="0" fontId="17" fillId="0" borderId="14" xfId="0" applyFont="1" applyFill="1" applyBorder="1" applyAlignment="1">
      <alignment horizontal="left" vertical="center" wrapText="1"/>
    </xf>
    <xf numFmtId="0" fontId="31" fillId="0" borderId="10" xfId="0" applyFont="1" applyFill="1" applyBorder="1" applyAlignment="1">
      <alignment horizontal="left" vertical="center" wrapText="1" indent="1"/>
    </xf>
    <xf numFmtId="0" fontId="17" fillId="0" borderId="10" xfId="0" applyFont="1" applyFill="1" applyBorder="1" applyAlignment="1">
      <alignment horizontal="center" vertical="center" wrapText="1"/>
    </xf>
    <xf numFmtId="0" fontId="17" fillId="0" borderId="17" xfId="0" applyFont="1" applyFill="1" applyBorder="1" applyAlignment="1">
      <alignment horizontal="left" vertical="center" wrapText="1"/>
    </xf>
    <xf numFmtId="0" fontId="32" fillId="0" borderId="10" xfId="0" applyFont="1" applyBorder="1" applyAlignment="1">
      <alignment horizontal="center" vertical="top"/>
    </xf>
    <xf numFmtId="0" fontId="31" fillId="0" borderId="43" xfId="0" applyFont="1" applyFill="1" applyBorder="1" applyAlignment="1">
      <alignment horizontal="left" vertical="center" wrapText="1" indent="1"/>
    </xf>
    <xf numFmtId="14" fontId="31" fillId="0" borderId="43" xfId="0" applyNumberFormat="1" applyFont="1" applyFill="1" applyBorder="1" applyAlignment="1">
      <alignment horizontal="center" vertical="center" wrapText="1"/>
    </xf>
    <xf numFmtId="0" fontId="31" fillId="0" borderId="43" xfId="0" applyFont="1" applyFill="1" applyBorder="1" applyAlignment="1">
      <alignment horizontal="center" vertical="center" wrapText="1"/>
    </xf>
    <xf numFmtId="14" fontId="11" fillId="0" borderId="43" xfId="0" applyNumberFormat="1" applyFont="1" applyBorder="1" applyAlignment="1">
      <alignment horizontal="center" vertical="top" wrapText="1"/>
    </xf>
    <xf numFmtId="0" fontId="11" fillId="0" borderId="43" xfId="0" applyFont="1" applyBorder="1" applyAlignment="1">
      <alignment horizontal="center" vertical="top" wrapText="1"/>
    </xf>
    <xf numFmtId="0" fontId="11" fillId="0" borderId="43" xfId="0" applyFont="1" applyBorder="1" applyAlignment="1">
      <alignment horizontal="center" vertical="top"/>
    </xf>
    <xf numFmtId="0" fontId="11" fillId="0" borderId="44" xfId="0" applyFont="1" applyBorder="1" applyAlignment="1">
      <alignment horizontal="justify" vertical="top"/>
    </xf>
    <xf numFmtId="14"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44" xfId="0" applyFont="1" applyFill="1" applyBorder="1" applyAlignment="1">
      <alignment horizontal="left" vertical="center" wrapText="1"/>
    </xf>
    <xf numFmtId="14" fontId="11" fillId="0" borderId="13" xfId="0" applyNumberFormat="1" applyFont="1" applyBorder="1" applyAlignment="1">
      <alignment horizontal="center" vertical="top" wrapText="1"/>
    </xf>
    <xf numFmtId="0" fontId="11" fillId="0" borderId="13" xfId="0" applyFont="1" applyBorder="1" applyAlignment="1">
      <alignment horizontal="center" vertical="top" wrapText="1"/>
    </xf>
    <xf numFmtId="0" fontId="11" fillId="0" borderId="13" xfId="0" applyFont="1" applyBorder="1" applyAlignment="1">
      <alignment horizontal="center" vertical="top"/>
    </xf>
    <xf numFmtId="0" fontId="11" fillId="0" borderId="14" xfId="0" applyFont="1" applyBorder="1" applyAlignment="1">
      <alignment horizontal="center" vertical="top"/>
    </xf>
    <xf numFmtId="0" fontId="11" fillId="0" borderId="13" xfId="0" applyFont="1" applyBorder="1" applyAlignment="1">
      <alignment/>
    </xf>
    <xf numFmtId="0" fontId="11" fillId="0" borderId="10" xfId="0" applyFont="1" applyBorder="1" applyAlignment="1">
      <alignment horizontal="center"/>
    </xf>
    <xf numFmtId="0" fontId="11" fillId="0" borderId="0" xfId="0" applyFont="1" applyBorder="1" applyAlignment="1">
      <alignment/>
    </xf>
    <xf numFmtId="14" fontId="31" fillId="0" borderId="18" xfId="0" applyNumberFormat="1" applyFont="1" applyFill="1" applyBorder="1" applyAlignment="1">
      <alignment horizontal="center" vertical="center" wrapText="1"/>
    </xf>
    <xf numFmtId="0" fontId="31" fillId="0" borderId="18" xfId="0" applyFont="1" applyFill="1" applyBorder="1" applyAlignment="1">
      <alignment horizontal="center" vertical="center" wrapText="1"/>
    </xf>
    <xf numFmtId="0" fontId="11" fillId="0" borderId="18" xfId="0" applyFont="1" applyBorder="1" applyAlignment="1">
      <alignment horizontal="center" vertical="top" wrapText="1"/>
    </xf>
    <xf numFmtId="0" fontId="11" fillId="0" borderId="18" xfId="0" applyFont="1" applyBorder="1" applyAlignment="1">
      <alignment horizontal="center" vertical="top"/>
    </xf>
    <xf numFmtId="0" fontId="11" fillId="0" borderId="19" xfId="0" applyFont="1" applyBorder="1" applyAlignment="1">
      <alignment horizontal="justify" vertical="top"/>
    </xf>
    <xf numFmtId="0" fontId="11" fillId="0" borderId="18" xfId="0" applyFont="1" applyBorder="1" applyAlignment="1">
      <alignment horizontal="justify" vertical="top" wrapText="1"/>
    </xf>
    <xf numFmtId="0" fontId="11" fillId="0" borderId="18" xfId="0" applyFont="1" applyBorder="1" applyAlignment="1">
      <alignment horizontal="justify" vertical="top"/>
    </xf>
    <xf numFmtId="0" fontId="11" fillId="0" borderId="10" xfId="0" applyFont="1" applyFill="1" applyBorder="1" applyAlignment="1">
      <alignment horizontal="left" vertical="center" wrapText="1" indent="1"/>
    </xf>
    <xf numFmtId="0" fontId="25" fillId="35" borderId="48" xfId="0" applyFont="1" applyFill="1" applyBorder="1" applyAlignment="1">
      <alignment horizontal="justify" vertical="top" wrapText="1"/>
    </xf>
    <xf numFmtId="0" fontId="25" fillId="0" borderId="48" xfId="0" applyFont="1" applyBorder="1" applyAlignment="1">
      <alignment horizontal="justify" vertical="top" wrapText="1"/>
    </xf>
    <xf numFmtId="3" fontId="12" fillId="0" borderId="43" xfId="0" applyNumberFormat="1" applyFont="1" applyFill="1" applyBorder="1" applyAlignment="1">
      <alignment horizontal="center"/>
    </xf>
    <xf numFmtId="3" fontId="12" fillId="33" borderId="77" xfId="0" applyNumberFormat="1" applyFont="1" applyFill="1" applyBorder="1" applyAlignment="1">
      <alignment horizontal="center"/>
    </xf>
    <xf numFmtId="3" fontId="12" fillId="0" borderId="40" xfId="0" applyNumberFormat="1" applyFont="1" applyFill="1" applyBorder="1" applyAlignment="1">
      <alignment horizontal="center"/>
    </xf>
    <xf numFmtId="3" fontId="12" fillId="33" borderId="40" xfId="0" applyNumberFormat="1" applyFont="1" applyFill="1" applyBorder="1" applyAlignment="1">
      <alignment horizontal="center"/>
    </xf>
    <xf numFmtId="3" fontId="12" fillId="33" borderId="67" xfId="0" applyNumberFormat="1" applyFont="1" applyFill="1" applyBorder="1" applyAlignment="1">
      <alignment horizontal="center"/>
    </xf>
    <xf numFmtId="3" fontId="12" fillId="33" borderId="41" xfId="0" applyNumberFormat="1" applyFont="1" applyFill="1" applyBorder="1" applyAlignment="1">
      <alignment horizontal="center" vertical="center"/>
    </xf>
    <xf numFmtId="3" fontId="25" fillId="33" borderId="10" xfId="0" applyNumberFormat="1" applyFont="1" applyFill="1" applyBorder="1" applyAlignment="1">
      <alignment horizontal="center" vertical="top"/>
    </xf>
    <xf numFmtId="9" fontId="27" fillId="33" borderId="10" xfId="53" applyFont="1" applyFill="1" applyBorder="1" applyAlignment="1">
      <alignment horizontal="center" vertical="center" wrapText="1"/>
    </xf>
    <xf numFmtId="174" fontId="27" fillId="0" borderId="10" xfId="48" applyNumberFormat="1" applyFont="1" applyFill="1" applyBorder="1" applyAlignment="1">
      <alignment horizontal="center" vertical="center" wrapText="1"/>
    </xf>
    <xf numFmtId="9" fontId="21" fillId="0" borderId="10" xfId="53" applyFont="1" applyFill="1" applyBorder="1" applyAlignment="1">
      <alignment horizontal="center" vertical="center"/>
    </xf>
    <xf numFmtId="9" fontId="27" fillId="0" borderId="10" xfId="53" applyFont="1" applyFill="1" applyBorder="1" applyAlignment="1">
      <alignment horizontal="center" vertical="center" wrapText="1"/>
    </xf>
    <xf numFmtId="0" fontId="27" fillId="0" borderId="10" xfId="0" applyFont="1" applyFill="1" applyBorder="1" applyAlignment="1">
      <alignment horizontal="center" vertical="center"/>
    </xf>
    <xf numFmtId="0" fontId="27" fillId="0" borderId="17" xfId="0" applyFont="1" applyFill="1" applyBorder="1" applyAlignment="1">
      <alignment horizontal="center" vertical="center"/>
    </xf>
    <xf numFmtId="0" fontId="8" fillId="33" borderId="10" xfId="0" applyFont="1" applyFill="1" applyBorder="1" applyAlignment="1">
      <alignment vertical="center"/>
    </xf>
    <xf numFmtId="9" fontId="12" fillId="0" borderId="69" xfId="53" applyFont="1" applyFill="1" applyBorder="1" applyAlignment="1">
      <alignment horizontal="right"/>
    </xf>
    <xf numFmtId="9" fontId="12" fillId="0" borderId="61" xfId="53" applyFont="1" applyFill="1" applyBorder="1" applyAlignment="1">
      <alignment horizontal="right"/>
    </xf>
    <xf numFmtId="3" fontId="12" fillId="0" borderId="62" xfId="0" applyNumberFormat="1" applyFont="1" applyFill="1" applyBorder="1" applyAlignment="1">
      <alignment horizontal="right"/>
    </xf>
    <xf numFmtId="3" fontId="12" fillId="0" borderId="63" xfId="0" applyNumberFormat="1" applyFont="1" applyFill="1" applyBorder="1" applyAlignment="1">
      <alignment horizontal="right"/>
    </xf>
    <xf numFmtId="3" fontId="12" fillId="0" borderId="64" xfId="0" applyNumberFormat="1" applyFont="1" applyFill="1" applyBorder="1" applyAlignment="1">
      <alignment horizontal="right"/>
    </xf>
    <xf numFmtId="0" fontId="11" fillId="0" borderId="78" xfId="0" applyFont="1" applyBorder="1" applyAlignment="1">
      <alignment horizontal="center" vertical="center" wrapText="1"/>
    </xf>
    <xf numFmtId="3" fontId="12" fillId="33" borderId="44" xfId="0" applyNumberFormat="1" applyFont="1" applyFill="1" applyBorder="1" applyAlignment="1">
      <alignment horizontal="center"/>
    </xf>
    <xf numFmtId="3" fontId="12" fillId="33" borderId="17" xfId="0" applyNumberFormat="1" applyFont="1" applyFill="1" applyBorder="1" applyAlignment="1">
      <alignment horizontal="center"/>
    </xf>
    <xf numFmtId="1" fontId="12" fillId="0" borderId="79" xfId="0" applyNumberFormat="1" applyFont="1" applyFill="1" applyBorder="1" applyAlignment="1">
      <alignment horizontal="center" vertical="center" wrapText="1"/>
    </xf>
    <xf numFmtId="175" fontId="12" fillId="33" borderId="80" xfId="0" applyNumberFormat="1" applyFont="1" applyFill="1" applyBorder="1" applyAlignment="1">
      <alignment horizontal="right"/>
    </xf>
    <xf numFmtId="1" fontId="12" fillId="0" borderId="81" xfId="0" applyNumberFormat="1" applyFont="1" applyFill="1" applyBorder="1" applyAlignment="1">
      <alignment horizontal="center" vertical="center" wrapText="1"/>
    </xf>
    <xf numFmtId="3" fontId="12" fillId="33" borderId="82" xfId="0" applyNumberFormat="1" applyFont="1" applyFill="1" applyBorder="1" applyAlignment="1">
      <alignment horizontal="right"/>
    </xf>
    <xf numFmtId="169" fontId="12" fillId="0" borderId="81" xfId="0" applyNumberFormat="1" applyFont="1" applyFill="1" applyBorder="1" applyAlignment="1">
      <alignment horizontal="center" vertical="center" wrapText="1"/>
    </xf>
    <xf numFmtId="1" fontId="12" fillId="0" borderId="83" xfId="0" applyNumberFormat="1" applyFont="1" applyFill="1" applyBorder="1" applyAlignment="1">
      <alignment horizontal="center" vertical="center" wrapText="1"/>
    </xf>
    <xf numFmtId="3" fontId="12" fillId="33" borderId="84" xfId="0" applyNumberFormat="1" applyFont="1" applyFill="1" applyBorder="1" applyAlignment="1">
      <alignment horizontal="right"/>
    </xf>
    <xf numFmtId="169" fontId="12" fillId="0" borderId="83" xfId="0" applyNumberFormat="1" applyFont="1" applyFill="1" applyBorder="1" applyAlignment="1">
      <alignment horizontal="center" vertical="center" wrapText="1"/>
    </xf>
    <xf numFmtId="169" fontId="12" fillId="0" borderId="85" xfId="0" applyNumberFormat="1" applyFont="1" applyFill="1" applyBorder="1" applyAlignment="1">
      <alignment horizontal="center" vertical="center" wrapText="1"/>
    </xf>
    <xf numFmtId="3" fontId="12" fillId="33" borderId="86" xfId="0" applyNumberFormat="1" applyFont="1" applyFill="1" applyBorder="1" applyAlignment="1">
      <alignment horizontal="right"/>
    </xf>
    <xf numFmtId="169" fontId="12" fillId="0" borderId="12" xfId="0" applyNumberFormat="1" applyFont="1" applyFill="1" applyBorder="1" applyAlignment="1">
      <alignment horizontal="center" vertical="center" wrapText="1"/>
    </xf>
    <xf numFmtId="0" fontId="12" fillId="0" borderId="18" xfId="0" applyFont="1" applyFill="1" applyBorder="1" applyAlignment="1">
      <alignment horizontal="center" vertical="center" wrapText="1"/>
    </xf>
    <xf numFmtId="175" fontId="12" fillId="0" borderId="18" xfId="0" applyNumberFormat="1" applyFont="1" applyFill="1" applyBorder="1" applyAlignment="1">
      <alignment/>
    </xf>
    <xf numFmtId="3" fontId="12" fillId="0" borderId="87" xfId="0" applyNumberFormat="1" applyFont="1" applyFill="1" applyBorder="1" applyAlignment="1">
      <alignment horizontal="center" vertical="center"/>
    </xf>
    <xf numFmtId="9" fontId="11" fillId="0" borderId="88" xfId="53" applyFont="1" applyFill="1" applyBorder="1" applyAlignment="1">
      <alignment horizontal="center" vertical="center"/>
    </xf>
    <xf numFmtId="9" fontId="12" fillId="0" borderId="88" xfId="53" applyFont="1" applyFill="1" applyBorder="1" applyAlignment="1">
      <alignment horizontal="center" vertical="center"/>
    </xf>
    <xf numFmtId="169" fontId="13" fillId="0" borderId="38" xfId="0" applyNumberFormat="1" applyFont="1" applyFill="1" applyBorder="1" applyAlignment="1">
      <alignment horizontal="center" vertical="center" wrapText="1"/>
    </xf>
    <xf numFmtId="3" fontId="13" fillId="33" borderId="39" xfId="0" applyNumberFormat="1" applyFont="1" applyFill="1" applyBorder="1" applyAlignment="1">
      <alignment horizontal="center"/>
    </xf>
    <xf numFmtId="175" fontId="12" fillId="0" borderId="27" xfId="0" applyNumberFormat="1" applyFont="1" applyBorder="1" applyAlignment="1">
      <alignment/>
    </xf>
    <xf numFmtId="3" fontId="11" fillId="0" borderId="18" xfId="0" applyNumberFormat="1" applyFont="1" applyFill="1" applyBorder="1" applyAlignment="1">
      <alignment/>
    </xf>
    <xf numFmtId="175" fontId="11" fillId="0" borderId="27" xfId="0" applyNumberFormat="1" applyFont="1" applyFill="1" applyBorder="1" applyAlignment="1">
      <alignment/>
    </xf>
    <xf numFmtId="3" fontId="12" fillId="33" borderId="27" xfId="0" applyNumberFormat="1" applyFont="1" applyFill="1" applyBorder="1" applyAlignment="1">
      <alignment horizontal="center" vertical="center"/>
    </xf>
    <xf numFmtId="3" fontId="12" fillId="33" borderId="48" xfId="0" applyNumberFormat="1" applyFont="1" applyFill="1" applyBorder="1" applyAlignment="1">
      <alignment horizontal="center" vertical="center"/>
    </xf>
    <xf numFmtId="176" fontId="30" fillId="33" borderId="25" xfId="0" applyNumberFormat="1" applyFont="1" applyFill="1" applyBorder="1" applyAlignment="1">
      <alignment vertical="center"/>
    </xf>
    <xf numFmtId="0" fontId="30" fillId="33" borderId="24" xfId="0" applyFont="1" applyFill="1" applyBorder="1" applyAlignment="1">
      <alignment vertical="center"/>
    </xf>
    <xf numFmtId="169" fontId="12" fillId="33" borderId="54" xfId="0" applyNumberFormat="1" applyFont="1" applyFill="1" applyBorder="1" applyAlignment="1">
      <alignment horizontal="center" vertical="center" wrapText="1"/>
    </xf>
    <xf numFmtId="3" fontId="12" fillId="33" borderId="57" xfId="0" applyNumberFormat="1" applyFont="1" applyFill="1" applyBorder="1" applyAlignment="1">
      <alignment horizontal="center" vertical="center" wrapText="1"/>
    </xf>
    <xf numFmtId="3" fontId="11" fillId="0" borderId="62" xfId="0" applyNumberFormat="1" applyFont="1" applyFill="1" applyBorder="1" applyAlignment="1">
      <alignment horizontal="center" vertical="center" wrapText="1"/>
    </xf>
    <xf numFmtId="0" fontId="11" fillId="0" borderId="70" xfId="0" applyFont="1" applyBorder="1" applyAlignment="1">
      <alignment horizontal="center" vertical="center" wrapText="1"/>
    </xf>
    <xf numFmtId="3" fontId="12" fillId="33" borderId="62" xfId="0" applyNumberFormat="1" applyFont="1" applyFill="1" applyBorder="1" applyAlignment="1">
      <alignment horizontal="center" vertical="center" wrapText="1"/>
    </xf>
    <xf numFmtId="3" fontId="30" fillId="0" borderId="57" xfId="0" applyNumberFormat="1" applyFont="1" applyFill="1" applyBorder="1" applyAlignment="1">
      <alignment horizontal="center" vertical="center" wrapText="1"/>
    </xf>
    <xf numFmtId="3" fontId="13" fillId="33" borderId="57" xfId="0" applyNumberFormat="1" applyFont="1" applyFill="1" applyBorder="1" applyAlignment="1">
      <alignment horizontal="center" vertical="center" wrapText="1"/>
    </xf>
    <xf numFmtId="169" fontId="12" fillId="33" borderId="89" xfId="0" applyNumberFormat="1" applyFont="1" applyFill="1" applyBorder="1" applyAlignment="1">
      <alignment horizontal="center" vertical="center" wrapText="1"/>
    </xf>
    <xf numFmtId="169" fontId="12" fillId="33" borderId="38" xfId="0" applyNumberFormat="1"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27" fillId="0" borderId="11" xfId="0" applyFont="1" applyFill="1" applyBorder="1" applyAlignment="1">
      <alignment horizontal="center" vertical="top" wrapText="1"/>
    </xf>
    <xf numFmtId="0" fontId="27" fillId="0" borderId="11" xfId="0" applyFont="1" applyFill="1" applyBorder="1" applyAlignment="1">
      <alignment horizontal="left" vertical="top" wrapText="1"/>
    </xf>
    <xf numFmtId="0" fontId="10" fillId="0" borderId="11" xfId="0" applyFont="1" applyFill="1" applyBorder="1" applyAlignment="1">
      <alignment horizontal="center" vertical="top" wrapText="1"/>
    </xf>
    <xf numFmtId="0" fontId="10" fillId="0" borderId="11" xfId="0" applyFont="1" applyFill="1" applyBorder="1" applyAlignment="1">
      <alignment horizontal="left" vertical="top" wrapText="1" indent="1"/>
    </xf>
    <xf numFmtId="0" fontId="17" fillId="0" borderId="90" xfId="0" applyFont="1" applyFill="1" applyBorder="1" applyAlignment="1">
      <alignment horizontal="center" vertical="center" wrapText="1"/>
    </xf>
    <xf numFmtId="0" fontId="17" fillId="0" borderId="76" xfId="0" applyFont="1" applyFill="1" applyBorder="1" applyAlignment="1">
      <alignment horizontal="center" vertical="center" wrapText="1"/>
    </xf>
    <xf numFmtId="0" fontId="17" fillId="35" borderId="90" xfId="0" applyFont="1" applyFill="1" applyBorder="1" applyAlignment="1">
      <alignment horizontal="center" vertical="center" wrapText="1"/>
    </xf>
    <xf numFmtId="0" fontId="17" fillId="35" borderId="33" xfId="0" applyFont="1" applyFill="1" applyBorder="1" applyAlignment="1">
      <alignment horizontal="left" vertical="center" wrapText="1"/>
    </xf>
    <xf numFmtId="14" fontId="31" fillId="35" borderId="33" xfId="0" applyNumberFormat="1" applyFont="1" applyFill="1" applyBorder="1" applyAlignment="1">
      <alignment horizontal="center" vertical="center" wrapText="1"/>
    </xf>
    <xf numFmtId="0" fontId="17" fillId="35" borderId="33" xfId="0" applyFont="1" applyFill="1" applyBorder="1" applyAlignment="1">
      <alignment horizontal="center" vertical="center" wrapText="1"/>
    </xf>
    <xf numFmtId="0" fontId="31" fillId="35" borderId="33" xfId="0" applyFont="1" applyFill="1" applyBorder="1" applyAlignment="1">
      <alignment horizontal="center" vertical="center" wrapText="1"/>
    </xf>
    <xf numFmtId="0" fontId="17" fillId="35" borderId="34" xfId="0" applyFont="1" applyFill="1" applyBorder="1" applyAlignment="1">
      <alignment horizontal="left" vertical="center" wrapText="1"/>
    </xf>
    <xf numFmtId="0" fontId="17" fillId="35" borderId="76"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8" fillId="0" borderId="10" xfId="0" applyFont="1" applyBorder="1" applyAlignment="1">
      <alignment horizontal="center" vertical="center" wrapText="1"/>
    </xf>
    <xf numFmtId="3" fontId="12" fillId="0" borderId="41" xfId="0" applyNumberFormat="1" applyFont="1" applyFill="1" applyBorder="1" applyAlignment="1">
      <alignment horizontal="center" vertical="center"/>
    </xf>
    <xf numFmtId="3" fontId="11" fillId="0" borderId="57" xfId="0" applyNumberFormat="1" applyFont="1" applyFill="1" applyBorder="1" applyAlignment="1">
      <alignment horizontal="center" vertical="center" wrapText="1"/>
    </xf>
    <xf numFmtId="3" fontId="11" fillId="33" borderId="65" xfId="0" applyNumberFormat="1" applyFont="1" applyFill="1" applyBorder="1" applyAlignment="1">
      <alignment horizontal="center" vertical="center" wrapText="1"/>
    </xf>
    <xf numFmtId="3" fontId="11" fillId="0" borderId="65" xfId="0" applyNumberFormat="1" applyFont="1" applyFill="1" applyBorder="1" applyAlignment="1">
      <alignment horizontal="center" vertical="center" wrapText="1"/>
    </xf>
    <xf numFmtId="3" fontId="12" fillId="33" borderId="65" xfId="0" applyNumberFormat="1" applyFont="1" applyFill="1" applyBorder="1" applyAlignment="1">
      <alignment horizontal="center" vertical="center" wrapText="1"/>
    </xf>
    <xf numFmtId="3" fontId="11" fillId="0" borderId="73" xfId="0" applyNumberFormat="1" applyFont="1" applyFill="1" applyBorder="1" applyAlignment="1">
      <alignment horizontal="center" vertical="center" wrapText="1"/>
    </xf>
    <xf numFmtId="3" fontId="12" fillId="33" borderId="73" xfId="0" applyNumberFormat="1" applyFont="1" applyFill="1" applyBorder="1" applyAlignment="1">
      <alignment horizontal="center" vertical="center" wrapText="1"/>
    </xf>
    <xf numFmtId="3" fontId="11" fillId="0" borderId="91" xfId="0" applyNumberFormat="1" applyFont="1" applyFill="1" applyBorder="1" applyAlignment="1">
      <alignment horizontal="center" vertical="center" wrapText="1"/>
    </xf>
    <xf numFmtId="3" fontId="12" fillId="33" borderId="91" xfId="0" applyNumberFormat="1" applyFont="1" applyFill="1" applyBorder="1" applyAlignment="1">
      <alignment horizontal="center" vertical="center" wrapText="1"/>
    </xf>
    <xf numFmtId="0" fontId="12" fillId="0" borderId="33" xfId="0" applyFont="1" applyFill="1" applyBorder="1" applyAlignment="1">
      <alignment horizontal="center" vertical="center" wrapText="1"/>
    </xf>
    <xf numFmtId="8" fontId="27" fillId="0" borderId="29" xfId="0" applyNumberFormat="1" applyFont="1" applyBorder="1" applyAlignment="1">
      <alignment/>
    </xf>
    <xf numFmtId="8" fontId="27" fillId="0" borderId="39" xfId="0" applyNumberFormat="1" applyFont="1" applyBorder="1" applyAlignment="1">
      <alignment horizontal="right"/>
    </xf>
    <xf numFmtId="0" fontId="30" fillId="33" borderId="0" xfId="0" applyFont="1" applyFill="1" applyBorder="1" applyAlignment="1">
      <alignment/>
    </xf>
    <xf numFmtId="3"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3" fontId="25" fillId="0" borderId="10" xfId="53" applyNumberFormat="1" applyFont="1" applyFill="1" applyBorder="1" applyAlignment="1">
      <alignment horizontal="center" vertical="center" wrapText="1"/>
    </xf>
    <xf numFmtId="0" fontId="25" fillId="0" borderId="10" xfId="0" applyFont="1" applyBorder="1" applyAlignment="1">
      <alignment horizontal="center" vertical="center" wrapText="1"/>
    </xf>
    <xf numFmtId="4" fontId="25" fillId="33" borderId="10" xfId="0" applyNumberFormat="1" applyFont="1" applyFill="1" applyBorder="1" applyAlignment="1">
      <alignment horizontal="center" vertical="center" wrapText="1"/>
    </xf>
    <xf numFmtId="3" fontId="25" fillId="33" borderId="10" xfId="0" applyNumberFormat="1" applyFont="1" applyFill="1" applyBorder="1" applyAlignment="1">
      <alignment horizontal="center" vertical="center" wrapText="1"/>
    </xf>
    <xf numFmtId="3" fontId="25" fillId="0" borderId="10" xfId="0" applyNumberFormat="1" applyFont="1" applyBorder="1" applyAlignment="1">
      <alignment horizontal="center" vertical="center" wrapText="1"/>
    </xf>
    <xf numFmtId="0" fontId="27" fillId="0"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3" fontId="10" fillId="33" borderId="10" xfId="53" applyNumberFormat="1" applyFont="1" applyFill="1" applyBorder="1" applyAlignment="1">
      <alignment horizontal="center" vertical="center" wrapText="1"/>
    </xf>
    <xf numFmtId="2" fontId="10" fillId="33" borderId="10" xfId="0" applyNumberFormat="1" applyFont="1" applyFill="1" applyBorder="1" applyAlignment="1">
      <alignment horizontal="center" vertical="center" wrapText="1"/>
    </xf>
    <xf numFmtId="0" fontId="27" fillId="0" borderId="18" xfId="0" applyFont="1" applyFill="1" applyBorder="1" applyAlignment="1">
      <alignment horizontal="center" vertical="center" wrapText="1"/>
    </xf>
    <xf numFmtId="0" fontId="10" fillId="33" borderId="18" xfId="0" applyFont="1" applyFill="1" applyBorder="1" applyAlignment="1">
      <alignment horizontal="center" vertical="center" wrapText="1"/>
    </xf>
    <xf numFmtId="1" fontId="25" fillId="0" borderId="10" xfId="0" applyNumberFormat="1" applyFont="1" applyFill="1" applyBorder="1" applyAlignment="1">
      <alignment horizontal="center" vertical="center"/>
    </xf>
    <xf numFmtId="9" fontId="25" fillId="0" borderId="10" xfId="53" applyFont="1" applyFill="1" applyBorder="1" applyAlignment="1">
      <alignment horizontal="center" vertical="center"/>
    </xf>
    <xf numFmtId="0" fontId="8" fillId="0" borderId="10" xfId="0" applyFont="1" applyFill="1" applyBorder="1" applyAlignment="1">
      <alignment horizontal="center" vertical="center"/>
    </xf>
    <xf numFmtId="0" fontId="8" fillId="33" borderId="10" xfId="0" applyFont="1" applyFill="1" applyBorder="1" applyAlignment="1">
      <alignment horizontal="center" vertical="center"/>
    </xf>
    <xf numFmtId="9" fontId="8" fillId="0" borderId="10" xfId="53" applyFont="1" applyFill="1" applyBorder="1" applyAlignment="1">
      <alignment horizontal="center" vertical="center"/>
    </xf>
    <xf numFmtId="0" fontId="11" fillId="0" borderId="13" xfId="0" applyFont="1" applyBorder="1" applyAlignment="1">
      <alignment horizontal="center" vertical="center" wrapText="1"/>
    </xf>
    <xf numFmtId="14" fontId="11" fillId="0" borderId="13" xfId="0" applyNumberFormat="1" applyFont="1" applyBorder="1" applyAlignment="1">
      <alignment horizontal="center" vertical="center" wrapText="1"/>
    </xf>
    <xf numFmtId="0" fontId="11" fillId="0" borderId="13" xfId="0" applyFont="1" applyBorder="1" applyAlignment="1">
      <alignment horizontal="center" vertical="center"/>
    </xf>
    <xf numFmtId="167" fontId="10" fillId="0" borderId="0" xfId="66" applyFont="1" applyAlignment="1">
      <alignment/>
    </xf>
    <xf numFmtId="167" fontId="10" fillId="0" borderId="0" xfId="0" applyNumberFormat="1" applyFont="1" applyAlignment="1">
      <alignment/>
    </xf>
    <xf numFmtId="167" fontId="25" fillId="0" borderId="0" xfId="66" applyFont="1" applyAlignment="1">
      <alignment/>
    </xf>
    <xf numFmtId="167" fontId="14" fillId="0" borderId="10" xfId="66" applyFont="1" applyBorder="1" applyAlignment="1">
      <alignment horizontal="right" wrapText="1"/>
    </xf>
    <xf numFmtId="167" fontId="35" fillId="35" borderId="10" xfId="66" applyFont="1" applyFill="1" applyBorder="1" applyAlignment="1">
      <alignment horizontal="right" wrapText="1"/>
    </xf>
    <xf numFmtId="168" fontId="35" fillId="35" borderId="40" xfId="66" applyNumberFormat="1" applyFont="1" applyFill="1" applyBorder="1" applyAlignment="1">
      <alignment horizontal="right" wrapText="1"/>
    </xf>
    <xf numFmtId="9" fontId="35" fillId="35" borderId="17" xfId="0" applyNumberFormat="1" applyFont="1" applyFill="1" applyBorder="1" applyAlignment="1">
      <alignment horizontal="right" wrapText="1"/>
    </xf>
    <xf numFmtId="167" fontId="35" fillId="35" borderId="40" xfId="66" applyFont="1" applyFill="1" applyBorder="1" applyAlignment="1">
      <alignment horizontal="right" wrapText="1"/>
    </xf>
    <xf numFmtId="167" fontId="35" fillId="35" borderId="18" xfId="66" applyFont="1" applyFill="1" applyBorder="1" applyAlignment="1">
      <alignment horizontal="right" wrapText="1"/>
    </xf>
    <xf numFmtId="167" fontId="35" fillId="35" borderId="41" xfId="66" applyFont="1" applyFill="1" applyBorder="1" applyAlignment="1">
      <alignment horizontal="right" wrapText="1"/>
    </xf>
    <xf numFmtId="0" fontId="35" fillId="35" borderId="19" xfId="0" applyFont="1" applyFill="1" applyBorder="1" applyAlignment="1">
      <alignment horizontal="right" wrapText="1"/>
    </xf>
    <xf numFmtId="168" fontId="14" fillId="0" borderId="10" xfId="66" applyNumberFormat="1" applyFont="1" applyBorder="1" applyAlignment="1">
      <alignment horizontal="right" wrapText="1"/>
    </xf>
    <xf numFmtId="168" fontId="35" fillId="35" borderId="10" xfId="66" applyNumberFormat="1" applyFont="1" applyFill="1" applyBorder="1" applyAlignment="1">
      <alignment horizontal="right" wrapText="1"/>
    </xf>
    <xf numFmtId="167" fontId="14" fillId="0" borderId="67" xfId="66" applyFont="1" applyBorder="1" applyAlignment="1">
      <alignment horizontal="right" wrapText="1"/>
    </xf>
    <xf numFmtId="4" fontId="14" fillId="34" borderId="11" xfId="0" applyNumberFormat="1" applyFont="1" applyFill="1" applyBorder="1" applyAlignment="1">
      <alignment/>
    </xf>
    <xf numFmtId="167" fontId="10" fillId="0" borderId="28" xfId="66" applyFont="1" applyBorder="1" applyAlignment="1">
      <alignment/>
    </xf>
    <xf numFmtId="167" fontId="10" fillId="0" borderId="46" xfId="0" applyNumberFormat="1" applyFont="1" applyBorder="1" applyAlignment="1">
      <alignment/>
    </xf>
    <xf numFmtId="9" fontId="21" fillId="35" borderId="17" xfId="0" applyNumberFormat="1" applyFont="1" applyFill="1" applyBorder="1" applyAlignment="1">
      <alignment horizontal="right" wrapText="1"/>
    </xf>
    <xf numFmtId="167" fontId="27" fillId="0" borderId="10" xfId="66" applyFont="1" applyFill="1" applyBorder="1" applyAlignment="1">
      <alignment horizontal="right" wrapText="1"/>
    </xf>
    <xf numFmtId="167" fontId="10" fillId="0" borderId="28" xfId="0" applyNumberFormat="1" applyFont="1" applyBorder="1" applyAlignment="1">
      <alignment/>
    </xf>
    <xf numFmtId="15" fontId="25" fillId="0" borderId="17" xfId="0" applyNumberFormat="1" applyFont="1" applyBorder="1" applyAlignment="1">
      <alignment horizontal="justify" vertical="top" wrapText="1"/>
    </xf>
    <xf numFmtId="15" fontId="25" fillId="0" borderId="17" xfId="0" applyNumberFormat="1" applyFont="1" applyFill="1" applyBorder="1" applyAlignment="1">
      <alignment horizontal="justify" vertical="top" wrapText="1"/>
    </xf>
    <xf numFmtId="1" fontId="25" fillId="0" borderId="17" xfId="0" applyNumberFormat="1" applyFont="1" applyBorder="1" applyAlignment="1">
      <alignment horizontal="justify" vertical="top" wrapText="1"/>
    </xf>
    <xf numFmtId="4" fontId="25" fillId="0" borderId="17" xfId="0" applyNumberFormat="1" applyFont="1" applyBorder="1" applyAlignment="1">
      <alignment horizontal="justify" vertical="top" wrapText="1"/>
    </xf>
    <xf numFmtId="10" fontId="25" fillId="0" borderId="17" xfId="53" applyNumberFormat="1" applyFont="1" applyBorder="1" applyAlignment="1">
      <alignment horizontal="justify" vertical="top" wrapText="1"/>
    </xf>
    <xf numFmtId="4" fontId="25" fillId="0" borderId="17" xfId="0" applyNumberFormat="1" applyFont="1" applyBorder="1" applyAlignment="1">
      <alignment horizontal="justify" vertical="top" wrapText="1"/>
    </xf>
    <xf numFmtId="10" fontId="25" fillId="0" borderId="17" xfId="53" applyNumberFormat="1" applyFont="1" applyBorder="1" applyAlignment="1">
      <alignment horizontal="justify" vertical="top" wrapText="1"/>
    </xf>
    <xf numFmtId="10" fontId="25" fillId="0" borderId="17" xfId="0" applyNumberFormat="1" applyFont="1" applyBorder="1" applyAlignment="1">
      <alignment horizontal="justify" vertical="top" wrapText="1"/>
    </xf>
    <xf numFmtId="0" fontId="25" fillId="35" borderId="17" xfId="0" applyFont="1" applyFill="1" applyBorder="1" applyAlignment="1">
      <alignment horizontal="justify" vertical="top" wrapText="1"/>
    </xf>
    <xf numFmtId="4" fontId="25" fillId="35" borderId="17" xfId="0" applyNumberFormat="1" applyFont="1" applyFill="1" applyBorder="1" applyAlignment="1">
      <alignment horizontal="justify" vertical="top" wrapText="1"/>
    </xf>
    <xf numFmtId="9" fontId="25" fillId="35" borderId="17" xfId="0" applyNumberFormat="1" applyFont="1" applyFill="1" applyBorder="1" applyAlignment="1">
      <alignment horizontal="justify" vertical="top" wrapText="1"/>
    </xf>
    <xf numFmtId="1" fontId="25" fillId="35" borderId="17" xfId="0" applyNumberFormat="1" applyFont="1" applyFill="1" applyBorder="1" applyAlignment="1">
      <alignment horizontal="justify" vertical="top" wrapText="1"/>
    </xf>
    <xf numFmtId="15" fontId="25" fillId="35" borderId="19" xfId="0" applyNumberFormat="1" applyFont="1" applyFill="1" applyBorder="1" applyAlignment="1">
      <alignment horizontal="justify" vertical="top" wrapText="1"/>
    </xf>
    <xf numFmtId="15" fontId="25" fillId="35" borderId="17" xfId="0" applyNumberFormat="1" applyFont="1" applyFill="1" applyBorder="1" applyAlignment="1">
      <alignment horizontal="justify" vertical="top" wrapText="1"/>
    </xf>
    <xf numFmtId="0" fontId="25" fillId="35" borderId="19" xfId="0" applyFont="1" applyFill="1" applyBorder="1" applyAlignment="1">
      <alignment horizontal="justify" vertical="top" wrapText="1"/>
    </xf>
    <xf numFmtId="1" fontId="25" fillId="0" borderId="19" xfId="0" applyNumberFormat="1" applyFont="1" applyBorder="1" applyAlignment="1">
      <alignment horizontal="justify" vertical="center" wrapText="1"/>
    </xf>
    <xf numFmtId="4" fontId="36" fillId="33" borderId="10" xfId="0" applyNumberFormat="1" applyFont="1" applyFill="1" applyBorder="1" applyAlignment="1">
      <alignment horizontal="center" vertical="center" wrapText="1"/>
    </xf>
    <xf numFmtId="3" fontId="36" fillId="33" borderId="33" xfId="0" applyNumberFormat="1" applyFont="1" applyFill="1" applyBorder="1" applyAlignment="1">
      <alignment horizontal="center" vertical="center" wrapText="1"/>
    </xf>
    <xf numFmtId="3" fontId="36" fillId="33" borderId="10" xfId="0" applyNumberFormat="1" applyFont="1" applyFill="1" applyBorder="1" applyAlignment="1">
      <alignment horizontal="center" vertical="center" wrapText="1"/>
    </xf>
    <xf numFmtId="0" fontId="12" fillId="0" borderId="58" xfId="0" applyFont="1" applyFill="1" applyBorder="1" applyAlignment="1">
      <alignment horizontal="justify" vertical="center" wrapText="1"/>
    </xf>
    <xf numFmtId="0" fontId="20" fillId="0" borderId="24" xfId="0" applyFont="1" applyFill="1" applyBorder="1" applyAlignment="1">
      <alignment/>
    </xf>
    <xf numFmtId="172" fontId="30" fillId="0" borderId="24" xfId="0" applyNumberFormat="1" applyFont="1" applyFill="1" applyBorder="1" applyAlignment="1">
      <alignment wrapText="1"/>
    </xf>
    <xf numFmtId="175" fontId="30" fillId="0" borderId="62" xfId="0" applyNumberFormat="1" applyFont="1" applyFill="1" applyBorder="1" applyAlignment="1">
      <alignment horizontal="right"/>
    </xf>
    <xf numFmtId="3" fontId="20" fillId="0" borderId="24" xfId="0" applyNumberFormat="1" applyFont="1" applyFill="1" applyBorder="1" applyAlignment="1">
      <alignment/>
    </xf>
    <xf numFmtId="0" fontId="11" fillId="0" borderId="60" xfId="0" applyFont="1" applyFill="1" applyBorder="1" applyAlignment="1">
      <alignment horizontal="left" vertical="center" wrapText="1"/>
    </xf>
    <xf numFmtId="175" fontId="11" fillId="0" borderId="62" xfId="0" applyNumberFormat="1" applyFont="1" applyFill="1" applyBorder="1" applyAlignment="1">
      <alignment horizontal="right"/>
    </xf>
    <xf numFmtId="175" fontId="12" fillId="33" borderId="62" xfId="0" applyNumberFormat="1" applyFont="1" applyFill="1" applyBorder="1" applyAlignment="1">
      <alignment horizontal="right"/>
    </xf>
    <xf numFmtId="3" fontId="12" fillId="33" borderId="62" xfId="0" applyNumberFormat="1" applyFont="1" applyFill="1" applyBorder="1" applyAlignment="1">
      <alignment horizontal="right"/>
    </xf>
    <xf numFmtId="172" fontId="30" fillId="0" borderId="0" xfId="0" applyNumberFormat="1" applyFont="1" applyBorder="1" applyAlignment="1">
      <alignment/>
    </xf>
    <xf numFmtId="1" fontId="13" fillId="0" borderId="81" xfId="0" applyNumberFormat="1" applyFont="1" applyFill="1" applyBorder="1" applyAlignment="1">
      <alignment horizontal="center" vertical="center" wrapText="1"/>
    </xf>
    <xf numFmtId="0" fontId="11" fillId="0" borderId="63" xfId="0" applyFont="1" applyFill="1" applyBorder="1" applyAlignment="1">
      <alignment horizontal="justify" vertical="center" wrapText="1"/>
    </xf>
    <xf numFmtId="167" fontId="10" fillId="0" borderId="0" xfId="66" applyFont="1" applyFill="1" applyAlignment="1">
      <alignment horizontal="right" vertical="top" wrapText="1"/>
    </xf>
    <xf numFmtId="167" fontId="10" fillId="0" borderId="0" xfId="0" applyNumberFormat="1" applyFont="1" applyFill="1" applyAlignment="1">
      <alignment horizontal="right" vertical="top" wrapText="1"/>
    </xf>
    <xf numFmtId="175" fontId="12" fillId="33" borderId="92" xfId="0" applyNumberFormat="1" applyFont="1" applyFill="1" applyBorder="1" applyAlignment="1">
      <alignment horizontal="right"/>
    </xf>
    <xf numFmtId="3" fontId="12" fillId="33" borderId="93" xfId="0" applyNumberFormat="1" applyFont="1" applyFill="1" applyBorder="1" applyAlignment="1">
      <alignment horizontal="center"/>
    </xf>
    <xf numFmtId="0" fontId="35" fillId="35" borderId="94" xfId="0" applyFont="1" applyFill="1" applyBorder="1" applyAlignment="1">
      <alignment horizontal="center" wrapText="1"/>
    </xf>
    <xf numFmtId="0" fontId="35" fillId="35" borderId="25" xfId="0" applyFont="1" applyFill="1" applyBorder="1" applyAlignment="1">
      <alignment horizontal="center" wrapText="1"/>
    </xf>
    <xf numFmtId="0" fontId="35" fillId="0" borderId="95" xfId="0" applyFont="1" applyBorder="1" applyAlignment="1">
      <alignment wrapText="1"/>
    </xf>
    <xf numFmtId="3" fontId="35" fillId="0" borderId="48" xfId="0" applyNumberFormat="1" applyFont="1" applyBorder="1" applyAlignment="1">
      <alignment horizontal="right" wrapText="1"/>
    </xf>
    <xf numFmtId="0" fontId="35" fillId="0" borderId="48" xfId="0" applyFont="1" applyBorder="1" applyAlignment="1">
      <alignment horizontal="right" wrapText="1"/>
    </xf>
    <xf numFmtId="0" fontId="14" fillId="0" borderId="95" xfId="0" applyFont="1" applyBorder="1" applyAlignment="1">
      <alignment wrapText="1"/>
    </xf>
    <xf numFmtId="3" fontId="14" fillId="0" borderId="48" xfId="0" applyNumberFormat="1" applyFont="1" applyBorder="1" applyAlignment="1">
      <alignment horizontal="right" wrapText="1"/>
    </xf>
    <xf numFmtId="0" fontId="14" fillId="0" borderId="48" xfId="0" applyFont="1" applyBorder="1" applyAlignment="1">
      <alignment horizontal="right" wrapText="1"/>
    </xf>
    <xf numFmtId="0" fontId="35" fillId="35" borderId="95" xfId="0" applyFont="1" applyFill="1" applyBorder="1" applyAlignment="1">
      <alignment horizontal="center" wrapText="1"/>
    </xf>
    <xf numFmtId="3" fontId="35" fillId="35" borderId="48" xfId="0" applyNumberFormat="1" applyFont="1" applyFill="1" applyBorder="1" applyAlignment="1">
      <alignment horizontal="center" wrapText="1"/>
    </xf>
    <xf numFmtId="0" fontId="35" fillId="35" borderId="48" xfId="0" applyFont="1" applyFill="1" applyBorder="1" applyAlignment="1">
      <alignment horizontal="center" wrapText="1"/>
    </xf>
    <xf numFmtId="0" fontId="14" fillId="0" borderId="95" xfId="0" applyFont="1" applyBorder="1" applyAlignment="1">
      <alignment horizontal="left" wrapText="1"/>
    </xf>
    <xf numFmtId="167" fontId="10" fillId="0" borderId="24" xfId="66" applyFont="1" applyFill="1" applyBorder="1" applyAlignment="1">
      <alignment/>
    </xf>
    <xf numFmtId="175" fontId="11" fillId="0" borderId="0" xfId="0" applyNumberFormat="1" applyFont="1" applyAlignment="1">
      <alignment/>
    </xf>
    <xf numFmtId="10" fontId="10" fillId="0" borderId="0" xfId="53" applyNumberFormat="1" applyFont="1" applyFill="1" applyAlignment="1">
      <alignment/>
    </xf>
    <xf numFmtId="10" fontId="27" fillId="0" borderId="0" xfId="53" applyNumberFormat="1" applyFont="1" applyFill="1" applyAlignment="1">
      <alignment/>
    </xf>
    <xf numFmtId="4" fontId="20" fillId="0" borderId="24" xfId="0" applyNumberFormat="1" applyFont="1" applyFill="1" applyBorder="1" applyAlignment="1">
      <alignment vertical="top"/>
    </xf>
    <xf numFmtId="177" fontId="12" fillId="0" borderId="27" xfId="0" applyNumberFormat="1" applyFont="1" applyFill="1" applyBorder="1" applyAlignment="1">
      <alignment horizontal="right"/>
    </xf>
    <xf numFmtId="175" fontId="12" fillId="33" borderId="18" xfId="0" applyNumberFormat="1" applyFont="1" applyFill="1" applyBorder="1" applyAlignment="1">
      <alignment/>
    </xf>
    <xf numFmtId="175" fontId="12" fillId="0" borderId="10" xfId="0" applyNumberFormat="1" applyFont="1" applyFill="1" applyBorder="1" applyAlignment="1">
      <alignment/>
    </xf>
    <xf numFmtId="175" fontId="12" fillId="33" borderId="10" xfId="0" applyNumberFormat="1" applyFont="1" applyFill="1" applyBorder="1" applyAlignment="1">
      <alignment/>
    </xf>
    <xf numFmtId="175" fontId="12" fillId="34" borderId="10" xfId="0" applyNumberFormat="1" applyFont="1" applyFill="1" applyBorder="1" applyAlignment="1">
      <alignment/>
    </xf>
    <xf numFmtId="3" fontId="12" fillId="33" borderId="53" xfId="0" applyNumberFormat="1" applyFont="1" applyFill="1" applyBorder="1" applyAlignment="1">
      <alignment horizontal="center"/>
    </xf>
    <xf numFmtId="3" fontId="13" fillId="0" borderId="10" xfId="0" applyNumberFormat="1" applyFont="1" applyFill="1" applyBorder="1" applyAlignment="1">
      <alignment horizontal="center"/>
    </xf>
    <xf numFmtId="3" fontId="12" fillId="33" borderId="52" xfId="0" applyNumberFormat="1" applyFont="1" applyFill="1" applyBorder="1" applyAlignment="1">
      <alignment horizontal="center"/>
    </xf>
    <xf numFmtId="3" fontId="12" fillId="33" borderId="40" xfId="0" applyNumberFormat="1" applyFont="1" applyFill="1" applyBorder="1" applyAlignment="1">
      <alignment horizontal="center"/>
    </xf>
    <xf numFmtId="3" fontId="12" fillId="33" borderId="37" xfId="0" applyNumberFormat="1" applyFont="1" applyFill="1" applyBorder="1" applyAlignment="1">
      <alignment horizontal="center"/>
    </xf>
    <xf numFmtId="0" fontId="27" fillId="33" borderId="10" xfId="0" applyFont="1" applyFill="1" applyBorder="1" applyAlignment="1">
      <alignment horizontal="left" vertical="top" wrapText="1"/>
    </xf>
    <xf numFmtId="0" fontId="27" fillId="33" borderId="17" xfId="0" applyFont="1" applyFill="1" applyBorder="1" applyAlignment="1">
      <alignment horizontal="left" vertical="top" wrapText="1"/>
    </xf>
    <xf numFmtId="0" fontId="27" fillId="33" borderId="37" xfId="0" applyFont="1" applyFill="1" applyBorder="1" applyAlignment="1">
      <alignment horizontal="left" vertical="top" wrapText="1"/>
    </xf>
    <xf numFmtId="0" fontId="27" fillId="33" borderId="39" xfId="0" applyFont="1" applyFill="1" applyBorder="1" applyAlignment="1">
      <alignment horizontal="left" vertical="top" wrapText="1"/>
    </xf>
    <xf numFmtId="0" fontId="27" fillId="33" borderId="12" xfId="0" applyFont="1" applyFill="1" applyBorder="1" applyAlignment="1">
      <alignment horizontal="center"/>
    </xf>
    <xf numFmtId="0" fontId="27" fillId="33" borderId="18" xfId="0" applyFont="1" applyFill="1" applyBorder="1" applyAlignment="1">
      <alignment horizontal="left" vertical="top" wrapText="1"/>
    </xf>
    <xf numFmtId="0" fontId="27" fillId="33" borderId="19" xfId="0" applyFont="1" applyFill="1" applyBorder="1" applyAlignment="1">
      <alignment horizontal="left" vertical="top" wrapText="1"/>
    </xf>
    <xf numFmtId="0" fontId="11" fillId="0" borderId="29" xfId="0" applyFont="1" applyBorder="1" applyAlignment="1">
      <alignment horizontal="center" vertical="top"/>
    </xf>
    <xf numFmtId="0" fontId="11" fillId="0" borderId="53" xfId="0" applyFont="1" applyBorder="1" applyAlignment="1">
      <alignment horizontal="center"/>
    </xf>
    <xf numFmtId="14" fontId="31" fillId="34" borderId="33" xfId="0" applyNumberFormat="1" applyFont="1" applyFill="1" applyBorder="1" applyAlignment="1">
      <alignment horizontal="center" vertical="center" wrapText="1"/>
    </xf>
    <xf numFmtId="0" fontId="31" fillId="0" borderId="96" xfId="0" applyFont="1" applyFill="1" applyBorder="1" applyAlignment="1">
      <alignment horizontal="center" vertical="center" wrapText="1"/>
    </xf>
    <xf numFmtId="0" fontId="11" fillId="0" borderId="96" xfId="0" applyFont="1" applyBorder="1" applyAlignment="1">
      <alignment horizontal="center" vertical="top" wrapText="1"/>
    </xf>
    <xf numFmtId="0" fontId="11" fillId="0" borderId="96" xfId="0" applyFont="1" applyBorder="1" applyAlignment="1">
      <alignment horizontal="center" vertical="top"/>
    </xf>
    <xf numFmtId="0" fontId="11" fillId="0" borderId="34" xfId="0" applyFont="1" applyBorder="1" applyAlignment="1">
      <alignment horizontal="justify" vertical="top"/>
    </xf>
    <xf numFmtId="0" fontId="17" fillId="0" borderId="33" xfId="0" applyFont="1" applyFill="1" applyBorder="1" applyAlignment="1">
      <alignment horizontal="left" vertical="center" wrapText="1"/>
    </xf>
    <xf numFmtId="0" fontId="19" fillId="0" borderId="0" xfId="44">
      <alignment/>
      <protection/>
    </xf>
    <xf numFmtId="0" fontId="21" fillId="0" borderId="0" xfId="44" applyFont="1" applyBorder="1" applyAlignment="1">
      <alignment horizontal="center" vertical="center"/>
      <protection/>
    </xf>
    <xf numFmtId="0" fontId="21" fillId="0" borderId="0" xfId="44" applyFont="1" applyAlignment="1">
      <alignment horizontal="center" vertical="center"/>
      <protection/>
    </xf>
    <xf numFmtId="0" fontId="19" fillId="0" borderId="0" xfId="44" applyAlignment="1">
      <alignment horizontal="center" vertical="center"/>
      <protection/>
    </xf>
    <xf numFmtId="0" fontId="21" fillId="0" borderId="0" xfId="44" applyFont="1" applyAlignment="1">
      <alignment horizontal="left" vertical="center"/>
      <protection/>
    </xf>
    <xf numFmtId="0" fontId="21" fillId="0" borderId="0" xfId="44" applyFont="1">
      <alignment/>
      <protection/>
    </xf>
    <xf numFmtId="167" fontId="0" fillId="0" borderId="0" xfId="57" applyAlignment="1">
      <alignment horizontal="center" vertical="center"/>
    </xf>
    <xf numFmtId="4" fontId="0" fillId="0" borderId="0" xfId="57" applyNumberFormat="1" applyBorder="1" applyAlignment="1">
      <alignment horizontal="right" vertical="center" wrapText="1"/>
    </xf>
    <xf numFmtId="0" fontId="19" fillId="0" borderId="0" xfId="44" applyFont="1">
      <alignment/>
      <protection/>
    </xf>
    <xf numFmtId="178" fontId="19" fillId="0" borderId="0" xfId="44" applyNumberFormat="1">
      <alignment/>
      <protection/>
    </xf>
    <xf numFmtId="0" fontId="17" fillId="0" borderId="97" xfId="44" applyFont="1" applyBorder="1" applyAlignment="1">
      <alignment horizontal="center"/>
      <protection/>
    </xf>
    <xf numFmtId="0" fontId="17" fillId="0" borderId="98" xfId="44" applyFont="1" applyBorder="1" applyAlignment="1">
      <alignment horizontal="center" wrapText="1"/>
      <protection/>
    </xf>
    <xf numFmtId="0" fontId="17" fillId="0" borderId="98" xfId="44" applyFont="1" applyBorder="1" applyAlignment="1">
      <alignment horizontal="center"/>
      <protection/>
    </xf>
    <xf numFmtId="0" fontId="17" fillId="0" borderId="99" xfId="44" applyFont="1" applyBorder="1" applyAlignment="1">
      <alignment horizontal="center" vertical="center"/>
      <protection/>
    </xf>
    <xf numFmtId="178" fontId="17" fillId="0" borderId="99" xfId="44" applyNumberFormat="1" applyFont="1" applyBorder="1" applyAlignment="1">
      <alignment horizontal="center"/>
      <protection/>
    </xf>
    <xf numFmtId="0" fontId="17" fillId="0" borderId="100" xfId="44" applyFont="1" applyBorder="1" applyAlignment="1">
      <alignment horizontal="center" wrapText="1"/>
      <protection/>
    </xf>
    <xf numFmtId="49" fontId="17" fillId="0" borderId="100" xfId="44" applyNumberFormat="1" applyFont="1" applyBorder="1" applyAlignment="1">
      <alignment horizontal="center"/>
      <protection/>
    </xf>
    <xf numFmtId="0" fontId="17" fillId="0" borderId="100" xfId="44" applyFont="1" applyBorder="1" applyAlignment="1">
      <alignment horizontal="center" vertical="center"/>
      <protection/>
    </xf>
    <xf numFmtId="178" fontId="17" fillId="0" borderId="100" xfId="44" applyNumberFormat="1" applyFont="1" applyBorder="1" applyAlignment="1">
      <alignment horizontal="center"/>
      <protection/>
    </xf>
    <xf numFmtId="0" fontId="38" fillId="0" borderId="0" xfId="44" applyFont="1">
      <alignment/>
      <protection/>
    </xf>
    <xf numFmtId="0" fontId="19" fillId="0" borderId="101" xfId="44" applyBorder="1">
      <alignment/>
      <protection/>
    </xf>
    <xf numFmtId="0" fontId="14" fillId="0" borderId="102" xfId="44" applyFont="1" applyBorder="1" applyAlignment="1">
      <alignment horizontal="center" vertical="center"/>
      <protection/>
    </xf>
    <xf numFmtId="0" fontId="14" fillId="34" borderId="102" xfId="51" applyFont="1" applyFill="1" applyBorder="1" applyAlignment="1">
      <alignment horizontal="center" vertical="center" wrapText="1"/>
      <protection/>
    </xf>
    <xf numFmtId="0" fontId="14" fillId="34" borderId="102" xfId="51" applyFont="1" applyFill="1" applyBorder="1" applyAlignment="1">
      <alignment horizontal="justify" vertical="center" wrapText="1"/>
      <protection/>
    </xf>
    <xf numFmtId="3" fontId="0" fillId="0" borderId="102" xfId="57" applyNumberFormat="1" applyFont="1" applyBorder="1" applyAlignment="1">
      <alignment horizontal="right" vertical="center" wrapText="1"/>
    </xf>
    <xf numFmtId="1" fontId="11" fillId="0" borderId="102" xfId="44" applyNumberFormat="1" applyFont="1" applyBorder="1" applyAlignment="1">
      <alignment horizontal="center"/>
      <protection/>
    </xf>
    <xf numFmtId="9" fontId="14" fillId="34" borderId="102" xfId="54" applyFont="1" applyFill="1" applyBorder="1" applyAlignment="1" applyProtection="1">
      <alignment horizontal="center" vertical="center" wrapText="1"/>
      <protection/>
    </xf>
    <xf numFmtId="173" fontId="14" fillId="34" borderId="102" xfId="51" applyNumberFormat="1" applyFont="1" applyFill="1" applyBorder="1" applyAlignment="1">
      <alignment horizontal="center" vertical="center" wrapText="1"/>
      <protection/>
    </xf>
    <xf numFmtId="0" fontId="40" fillId="0" borderId="103" xfId="44" applyFont="1" applyBorder="1" applyAlignment="1">
      <alignment horizontal="center" vertical="center" wrapText="1"/>
      <protection/>
    </xf>
    <xf numFmtId="0" fontId="40" fillId="0" borderId="0" xfId="44" applyFont="1" applyBorder="1" applyAlignment="1">
      <alignment horizontal="center" vertical="center" wrapText="1"/>
      <protection/>
    </xf>
    <xf numFmtId="3" fontId="0" fillId="0" borderId="102" xfId="57" applyNumberFormat="1" applyFont="1" applyBorder="1" applyAlignment="1">
      <alignment horizontal="right" vertical="center" wrapText="1"/>
    </xf>
    <xf numFmtId="0" fontId="39" fillId="0" borderId="104" xfId="44" applyFont="1" applyBorder="1" applyAlignment="1">
      <alignment horizontal="justify" vertical="center" wrapText="1"/>
      <protection/>
    </xf>
    <xf numFmtId="0" fontId="41" fillId="0" borderId="0" xfId="44" applyFont="1" applyAlignment="1">
      <alignment horizontal="center" wrapText="1"/>
      <protection/>
    </xf>
    <xf numFmtId="0" fontId="42" fillId="0" borderId="102" xfId="44" applyFont="1" applyBorder="1" applyAlignment="1">
      <alignment horizontal="center" vertical="center"/>
      <protection/>
    </xf>
    <xf numFmtId="0" fontId="14" fillId="37" borderId="102" xfId="51" applyFont="1" applyFill="1" applyBorder="1" applyAlignment="1">
      <alignment horizontal="center" vertical="center" wrapText="1"/>
      <protection/>
    </xf>
    <xf numFmtId="0" fontId="14" fillId="37" borderId="102" xfId="51" applyFont="1" applyFill="1" applyBorder="1" applyAlignment="1">
      <alignment horizontal="justify" vertical="center" wrapText="1"/>
      <protection/>
    </xf>
    <xf numFmtId="3" fontId="0" fillId="0" borderId="102" xfId="57" applyNumberFormat="1" applyBorder="1" applyAlignment="1">
      <alignment horizontal="right" vertical="center" wrapText="1"/>
    </xf>
    <xf numFmtId="9" fontId="14" fillId="37" borderId="102" xfId="54" applyFont="1" applyFill="1" applyBorder="1" applyAlignment="1" applyProtection="1">
      <alignment horizontal="center" vertical="center" wrapText="1"/>
      <protection/>
    </xf>
    <xf numFmtId="173" fontId="14" fillId="37" borderId="102" xfId="51" applyNumberFormat="1" applyFont="1" applyFill="1" applyBorder="1" applyAlignment="1">
      <alignment horizontal="center" vertical="center" wrapText="1"/>
      <protection/>
    </xf>
    <xf numFmtId="0" fontId="14" fillId="34" borderId="102" xfId="51" applyFont="1" applyFill="1" applyBorder="1" applyAlignment="1">
      <alignment horizontal="left" vertical="center" wrapText="1"/>
      <protection/>
    </xf>
    <xf numFmtId="9" fontId="16" fillId="34" borderId="102" xfId="54" applyFont="1" applyFill="1" applyBorder="1" applyAlignment="1" applyProtection="1">
      <alignment horizontal="center" vertical="center" wrapText="1"/>
      <protection/>
    </xf>
    <xf numFmtId="0" fontId="27" fillId="0" borderId="0" xfId="44" applyFont="1" applyAlignment="1">
      <alignment horizontal="center" wrapText="1"/>
      <protection/>
    </xf>
    <xf numFmtId="0" fontId="10" fillId="0" borderId="0" xfId="44" applyFont="1">
      <alignment/>
      <protection/>
    </xf>
    <xf numFmtId="0" fontId="14" fillId="0" borderId="105" xfId="51" applyFont="1" applyBorder="1" applyAlignment="1">
      <alignment horizontal="center" vertical="center" wrapText="1"/>
      <protection/>
    </xf>
    <xf numFmtId="0" fontId="14" fillId="0" borderId="105" xfId="51" applyFont="1" applyBorder="1" applyAlignment="1" applyProtection="1">
      <alignment horizontal="justify" vertical="center" wrapText="1"/>
      <protection locked="0"/>
    </xf>
    <xf numFmtId="9" fontId="14" fillId="0" borderId="102" xfId="54" applyFont="1" applyFill="1" applyBorder="1" applyAlignment="1" applyProtection="1">
      <alignment horizontal="center" vertical="center" wrapText="1"/>
      <protection/>
    </xf>
    <xf numFmtId="3" fontId="12" fillId="0" borderId="106" xfId="44" applyNumberFormat="1" applyFont="1" applyBorder="1" applyAlignment="1">
      <alignment horizontal="center"/>
      <protection/>
    </xf>
    <xf numFmtId="0" fontId="43" fillId="38" borderId="107" xfId="44" applyFont="1" applyFill="1" applyBorder="1" applyAlignment="1">
      <alignment horizontal="center"/>
      <protection/>
    </xf>
    <xf numFmtId="0" fontId="44" fillId="38" borderId="108" xfId="44" applyFont="1" applyFill="1" applyBorder="1" applyAlignment="1">
      <alignment horizontal="center"/>
      <protection/>
    </xf>
    <xf numFmtId="49" fontId="43" fillId="38" borderId="108" xfId="44" applyNumberFormat="1" applyFont="1" applyFill="1" applyBorder="1" applyAlignment="1">
      <alignment horizontal="center"/>
      <protection/>
    </xf>
    <xf numFmtId="178" fontId="43" fillId="38" borderId="108" xfId="44" applyNumberFormat="1" applyFont="1" applyFill="1" applyBorder="1">
      <alignment/>
      <protection/>
    </xf>
    <xf numFmtId="0" fontId="43" fillId="38" borderId="108" xfId="44" applyFont="1" applyFill="1" applyBorder="1" applyAlignment="1">
      <alignment horizontal="center"/>
      <protection/>
    </xf>
    <xf numFmtId="0" fontId="43" fillId="38" borderId="106" xfId="44" applyFont="1" applyFill="1" applyBorder="1" applyAlignment="1">
      <alignment horizontal="center"/>
      <protection/>
    </xf>
    <xf numFmtId="0" fontId="12" fillId="0" borderId="0" xfId="44" applyFont="1" applyBorder="1" applyAlignment="1">
      <alignment horizontal="right" vertical="center"/>
      <protection/>
    </xf>
    <xf numFmtId="4" fontId="12" fillId="0" borderId="109" xfId="44" applyNumberFormat="1" applyFont="1" applyBorder="1" applyAlignment="1">
      <alignment horizontal="center"/>
      <protection/>
    </xf>
    <xf numFmtId="167" fontId="0" fillId="0" borderId="109" xfId="57" applyFill="1" applyBorder="1" applyAlignment="1">
      <alignment horizontal="center"/>
    </xf>
    <xf numFmtId="167" fontId="23" fillId="0" borderId="109" xfId="44" applyNumberFormat="1" applyFont="1" applyFill="1" applyBorder="1" applyAlignment="1">
      <alignment horizontal="center"/>
      <protection/>
    </xf>
    <xf numFmtId="49" fontId="11" fillId="0" borderId="109" xfId="44" applyNumberFormat="1" applyFont="1" applyFill="1" applyBorder="1" applyAlignment="1">
      <alignment horizontal="center"/>
      <protection/>
    </xf>
    <xf numFmtId="178" fontId="11" fillId="0" borderId="109" xfId="44" applyNumberFormat="1" applyFont="1" applyFill="1" applyBorder="1">
      <alignment/>
      <protection/>
    </xf>
    <xf numFmtId="0" fontId="11" fillId="0" borderId="109" xfId="44" applyFont="1" applyFill="1" applyBorder="1" applyAlignment="1">
      <alignment horizontal="center"/>
      <protection/>
    </xf>
    <xf numFmtId="0" fontId="11" fillId="0" borderId="110" xfId="44" applyFont="1" applyFill="1" applyBorder="1" applyAlignment="1">
      <alignment horizontal="center"/>
      <protection/>
    </xf>
    <xf numFmtId="0" fontId="19" fillId="0" borderId="0" xfId="44" applyBorder="1">
      <alignment/>
      <protection/>
    </xf>
    <xf numFmtId="0" fontId="42" fillId="0" borderId="111" xfId="44" applyFont="1" applyBorder="1" applyAlignment="1">
      <alignment horizontal="center" vertical="center" wrapText="1"/>
      <protection/>
    </xf>
    <xf numFmtId="0" fontId="14" fillId="0" borderId="105" xfId="51" applyFont="1" applyBorder="1" applyAlignment="1">
      <alignment horizontal="center" vertical="top" wrapText="1"/>
      <protection/>
    </xf>
    <xf numFmtId="0" fontId="14" fillId="0" borderId="105" xfId="51" applyFont="1" applyBorder="1" applyAlignment="1">
      <alignment horizontal="left" vertical="top" wrapText="1"/>
      <protection/>
    </xf>
    <xf numFmtId="37" fontId="0" fillId="0" borderId="102" xfId="57" applyNumberFormat="1" applyFont="1" applyBorder="1" applyAlignment="1">
      <alignment horizontal="right" vertical="center" wrapText="1"/>
    </xf>
    <xf numFmtId="9" fontId="14" fillId="0" borderId="105" xfId="54" applyFont="1" applyFill="1" applyBorder="1" applyAlignment="1" applyProtection="1">
      <alignment horizontal="center" vertical="center" wrapText="1"/>
      <protection/>
    </xf>
    <xf numFmtId="173" fontId="14" fillId="34" borderId="105" xfId="51" applyNumberFormat="1" applyFont="1" applyFill="1" applyBorder="1" applyAlignment="1">
      <alignment horizontal="center" vertical="center" wrapText="1"/>
      <protection/>
    </xf>
    <xf numFmtId="173" fontId="14" fillId="34" borderId="112" xfId="51" applyNumberFormat="1" applyFont="1" applyFill="1" applyBorder="1" applyAlignment="1">
      <alignment horizontal="center" vertical="center" wrapText="1"/>
      <protection/>
    </xf>
    <xf numFmtId="4" fontId="12" fillId="0" borderId="102" xfId="44" applyNumberFormat="1" applyFont="1" applyBorder="1" applyAlignment="1">
      <alignment horizontal="center"/>
      <protection/>
    </xf>
    <xf numFmtId="0" fontId="43" fillId="38" borderId="102" xfId="44" applyFont="1" applyFill="1" applyBorder="1" applyAlignment="1">
      <alignment horizontal="center"/>
      <protection/>
    </xf>
    <xf numFmtId="0" fontId="44" fillId="38" borderId="102" xfId="44" applyFont="1" applyFill="1" applyBorder="1" applyAlignment="1">
      <alignment horizontal="center"/>
      <protection/>
    </xf>
    <xf numFmtId="1" fontId="43" fillId="38" borderId="102" xfId="44" applyNumberFormat="1" applyFont="1" applyFill="1" applyBorder="1" applyAlignment="1">
      <alignment horizontal="center"/>
      <protection/>
    </xf>
    <xf numFmtId="178" fontId="43" fillId="38" borderId="102" xfId="44" applyNumberFormat="1" applyFont="1" applyFill="1" applyBorder="1">
      <alignment/>
      <protection/>
    </xf>
    <xf numFmtId="0" fontId="43" fillId="38" borderId="104" xfId="44" applyFont="1" applyFill="1" applyBorder="1" applyAlignment="1">
      <alignment horizontal="center"/>
      <protection/>
    </xf>
    <xf numFmtId="0" fontId="14" fillId="0" borderId="10" xfId="44" applyFont="1" applyBorder="1" applyAlignment="1">
      <alignment horizontal="center" vertical="center"/>
      <protection/>
    </xf>
    <xf numFmtId="0" fontId="20" fillId="0" borderId="0" xfId="44" applyFont="1">
      <alignment/>
      <protection/>
    </xf>
    <xf numFmtId="173" fontId="16" fillId="34" borderId="105" xfId="51" applyNumberFormat="1" applyFont="1" applyFill="1" applyBorder="1" applyAlignment="1">
      <alignment horizontal="center" vertical="center" wrapText="1"/>
      <protection/>
    </xf>
    <xf numFmtId="0" fontId="26" fillId="0" borderId="0" xfId="44" applyFont="1" applyAlignment="1">
      <alignment horizontal="center" vertical="center" wrapText="1"/>
      <protection/>
    </xf>
    <xf numFmtId="168" fontId="0" fillId="0" borderId="10" xfId="57" applyNumberFormat="1" applyFont="1" applyBorder="1" applyAlignment="1">
      <alignment horizontal="center" vertical="center" wrapText="1"/>
    </xf>
    <xf numFmtId="0" fontId="14" fillId="0" borderId="10" xfId="51" applyFont="1" applyFill="1" applyBorder="1" applyAlignment="1">
      <alignment horizontal="center" vertical="center" wrapText="1"/>
      <protection/>
    </xf>
    <xf numFmtId="0" fontId="14" fillId="0" borderId="113" xfId="51" applyFont="1" applyFill="1" applyBorder="1" applyAlignment="1" applyProtection="1">
      <alignment horizontal="justify" vertical="center" wrapText="1"/>
      <protection locked="0"/>
    </xf>
    <xf numFmtId="0" fontId="14" fillId="0" borderId="113" xfId="51" applyFont="1" applyFill="1" applyBorder="1" applyAlignment="1">
      <alignment horizontal="center" vertical="center" wrapText="1"/>
      <protection/>
    </xf>
    <xf numFmtId="0" fontId="39" fillId="0" borderId="17" xfId="51" applyFont="1" applyBorder="1" applyAlignment="1">
      <alignment horizontal="justify" vertical="center" wrapText="1"/>
      <protection/>
    </xf>
    <xf numFmtId="168" fontId="19" fillId="0" borderId="0" xfId="44" applyNumberFormat="1">
      <alignment/>
      <protection/>
    </xf>
    <xf numFmtId="4" fontId="12" fillId="0" borderId="10" xfId="44" applyNumberFormat="1" applyFont="1" applyBorder="1" applyAlignment="1">
      <alignment horizontal="center"/>
      <protection/>
    </xf>
    <xf numFmtId="0" fontId="45" fillId="38" borderId="10" xfId="44" applyFont="1" applyFill="1" applyBorder="1" applyAlignment="1">
      <alignment horizontal="center"/>
      <protection/>
    </xf>
    <xf numFmtId="0" fontId="47" fillId="38" borderId="10" xfId="44" applyFont="1" applyFill="1" applyBorder="1" applyAlignment="1">
      <alignment horizontal="center"/>
      <protection/>
    </xf>
    <xf numFmtId="1" fontId="45" fillId="38" borderId="10" xfId="44" applyNumberFormat="1" applyFont="1" applyFill="1" applyBorder="1" applyAlignment="1">
      <alignment horizontal="center"/>
      <protection/>
    </xf>
    <xf numFmtId="178" fontId="45" fillId="38" borderId="10" xfId="44" applyNumberFormat="1" applyFont="1" applyFill="1" applyBorder="1">
      <alignment/>
      <protection/>
    </xf>
    <xf numFmtId="0" fontId="45" fillId="38" borderId="114" xfId="44" applyFont="1" applyFill="1" applyBorder="1" applyAlignment="1">
      <alignment horizontal="center"/>
      <protection/>
    </xf>
    <xf numFmtId="4" fontId="12" fillId="0" borderId="0" xfId="44" applyNumberFormat="1" applyFont="1" applyBorder="1" applyAlignment="1">
      <alignment horizontal="center"/>
      <protection/>
    </xf>
    <xf numFmtId="4" fontId="45" fillId="0" borderId="0" xfId="44" applyNumberFormat="1" applyFont="1" applyFill="1" applyBorder="1" applyAlignment="1">
      <alignment horizontal="center"/>
      <protection/>
    </xf>
    <xf numFmtId="0" fontId="47" fillId="0" borderId="0" xfId="44" applyFont="1" applyFill="1" applyBorder="1" applyAlignment="1">
      <alignment horizontal="center"/>
      <protection/>
    </xf>
    <xf numFmtId="1" fontId="45" fillId="0" borderId="0" xfId="44" applyNumberFormat="1" applyFont="1" applyFill="1" applyBorder="1" applyAlignment="1">
      <alignment horizontal="center"/>
      <protection/>
    </xf>
    <xf numFmtId="178" fontId="45" fillId="0" borderId="0" xfId="44" applyNumberFormat="1" applyFont="1" applyFill="1" applyBorder="1">
      <alignment/>
      <protection/>
    </xf>
    <xf numFmtId="0" fontId="45" fillId="0" borderId="0" xfId="44" applyFont="1" applyFill="1" applyBorder="1" applyAlignment="1">
      <alignment horizontal="center"/>
      <protection/>
    </xf>
    <xf numFmtId="0" fontId="45" fillId="0" borderId="115" xfId="44" applyFont="1" applyFill="1" applyBorder="1" applyAlignment="1">
      <alignment horizontal="center"/>
      <protection/>
    </xf>
    <xf numFmtId="0" fontId="42" fillId="34" borderId="102" xfId="51" applyFont="1" applyFill="1" applyBorder="1" applyAlignment="1">
      <alignment horizontal="center" vertical="center" wrapText="1"/>
      <protection/>
    </xf>
    <xf numFmtId="0" fontId="42" fillId="0" borderId="102" xfId="51" applyFont="1" applyFill="1" applyBorder="1" applyAlignment="1">
      <alignment horizontal="left" vertical="top" wrapText="1"/>
      <protection/>
    </xf>
    <xf numFmtId="3" fontId="42" fillId="0" borderId="102" xfId="44" applyNumberFormat="1" applyFont="1" applyBorder="1" applyAlignment="1">
      <alignment horizontal="right" vertical="center"/>
      <protection/>
    </xf>
    <xf numFmtId="9" fontId="42" fillId="0" borderId="102" xfId="54" applyFont="1" applyFill="1" applyBorder="1" applyAlignment="1" applyProtection="1">
      <alignment horizontal="center" vertical="center" wrapText="1"/>
      <protection/>
    </xf>
    <xf numFmtId="0" fontId="42" fillId="34" borderId="102" xfId="51" applyFont="1" applyFill="1" applyBorder="1" applyAlignment="1">
      <alignment horizontal="left" vertical="center" wrapText="1"/>
      <protection/>
    </xf>
    <xf numFmtId="0" fontId="42" fillId="0" borderId="102" xfId="44" applyFont="1" applyBorder="1" applyAlignment="1">
      <alignment horizontal="center" vertical="center" wrapText="1"/>
      <protection/>
    </xf>
    <xf numFmtId="9" fontId="42" fillId="34" borderId="102" xfId="54" applyFont="1" applyFill="1" applyBorder="1" applyAlignment="1" applyProtection="1">
      <alignment horizontal="center" vertical="center" wrapText="1"/>
      <protection/>
    </xf>
    <xf numFmtId="0" fontId="42" fillId="34" borderId="102" xfId="51" applyFont="1" applyFill="1" applyBorder="1" applyAlignment="1">
      <alignment horizontal="justify" vertical="center" wrapText="1"/>
      <protection/>
    </xf>
    <xf numFmtId="3" fontId="14" fillId="0" borderId="102" xfId="44" applyNumberFormat="1" applyFont="1" applyBorder="1" applyAlignment="1">
      <alignment horizontal="right" vertical="center"/>
      <protection/>
    </xf>
    <xf numFmtId="170" fontId="14" fillId="34" borderId="102" xfId="54" applyNumberFormat="1" applyFont="1" applyFill="1" applyBorder="1" applyAlignment="1" applyProtection="1">
      <alignment horizontal="center" vertical="center" wrapText="1"/>
      <protection/>
    </xf>
    <xf numFmtId="0" fontId="42" fillId="34" borderId="102" xfId="44" applyFont="1" applyFill="1" applyBorder="1" applyAlignment="1">
      <alignment horizontal="center" vertical="center"/>
      <protection/>
    </xf>
    <xf numFmtId="0" fontId="42" fillId="37" borderId="102" xfId="51" applyFont="1" applyFill="1" applyBorder="1" applyAlignment="1">
      <alignment horizontal="center" vertical="center" wrapText="1"/>
      <protection/>
    </xf>
    <xf numFmtId="0" fontId="42" fillId="37" borderId="102" xfId="51" applyFont="1" applyFill="1" applyBorder="1" applyAlignment="1">
      <alignment horizontal="justify" vertical="center" wrapText="1"/>
      <protection/>
    </xf>
    <xf numFmtId="3" fontId="42" fillId="34" borderId="102" xfId="44" applyNumberFormat="1" applyFont="1" applyFill="1" applyBorder="1" applyAlignment="1">
      <alignment horizontal="right" vertical="center"/>
      <protection/>
    </xf>
    <xf numFmtId="9" fontId="42" fillId="37" borderId="102" xfId="54" applyFont="1" applyFill="1" applyBorder="1" applyAlignment="1" applyProtection="1">
      <alignment horizontal="center" vertical="center" wrapText="1"/>
      <protection/>
    </xf>
    <xf numFmtId="0" fontId="39" fillId="34" borderId="104" xfId="44" applyFont="1" applyFill="1" applyBorder="1" applyAlignment="1">
      <alignment horizontal="justify" wrapText="1"/>
      <protection/>
    </xf>
    <xf numFmtId="0" fontId="39" fillId="34" borderId="104" xfId="44" applyFont="1" applyFill="1" applyBorder="1" applyAlignment="1">
      <alignment horizontal="justify" vertical="top" wrapText="1"/>
      <protection/>
    </xf>
    <xf numFmtId="3" fontId="48" fillId="0" borderId="0" xfId="44" applyNumberFormat="1" applyFont="1">
      <alignment/>
      <protection/>
    </xf>
    <xf numFmtId="3" fontId="19" fillId="0" borderId="0" xfId="44" applyNumberFormat="1">
      <alignment/>
      <protection/>
    </xf>
    <xf numFmtId="167" fontId="0" fillId="0" borderId="0" xfId="57" applyAlignment="1">
      <alignment/>
    </xf>
    <xf numFmtId="0" fontId="45" fillId="38" borderId="102" xfId="44" applyFont="1" applyFill="1" applyBorder="1" applyAlignment="1">
      <alignment horizontal="center"/>
      <protection/>
    </xf>
    <xf numFmtId="0" fontId="47" fillId="38" borderId="102" xfId="44" applyFont="1" applyFill="1" applyBorder="1" applyAlignment="1">
      <alignment horizontal="center"/>
      <protection/>
    </xf>
    <xf numFmtId="1" fontId="45" fillId="38" borderId="102" xfId="44" applyNumberFormat="1" applyFont="1" applyFill="1" applyBorder="1" applyAlignment="1">
      <alignment horizontal="center"/>
      <protection/>
    </xf>
    <xf numFmtId="178" fontId="45" fillId="38" borderId="102" xfId="44" applyNumberFormat="1" applyFont="1" applyFill="1" applyBorder="1">
      <alignment/>
      <protection/>
    </xf>
    <xf numFmtId="0" fontId="45" fillId="38" borderId="104" xfId="44" applyFont="1" applyFill="1" applyBorder="1" applyAlignment="1">
      <alignment horizontal="center"/>
      <protection/>
    </xf>
    <xf numFmtId="0" fontId="45" fillId="0" borderId="102" xfId="44" applyFont="1" applyBorder="1" applyAlignment="1">
      <alignment horizontal="center"/>
      <protection/>
    </xf>
    <xf numFmtId="0" fontId="47" fillId="0" borderId="102" xfId="44" applyFont="1" applyBorder="1" applyAlignment="1">
      <alignment horizontal="center"/>
      <protection/>
    </xf>
    <xf numFmtId="1" fontId="45" fillId="0" borderId="102" xfId="44" applyNumberFormat="1" applyFont="1" applyBorder="1" applyAlignment="1">
      <alignment horizontal="center"/>
      <protection/>
    </xf>
    <xf numFmtId="178" fontId="45" fillId="0" borderId="102" xfId="44" applyNumberFormat="1" applyFont="1" applyBorder="1">
      <alignment/>
      <protection/>
    </xf>
    <xf numFmtId="0" fontId="45" fillId="0" borderId="104" xfId="44" applyFont="1" applyBorder="1" applyAlignment="1">
      <alignment horizontal="center"/>
      <protection/>
    </xf>
    <xf numFmtId="49" fontId="12" fillId="0" borderId="116" xfId="44" applyNumberFormat="1" applyFont="1" applyBorder="1" applyAlignment="1">
      <alignment horizontal="center" vertical="center"/>
      <protection/>
    </xf>
    <xf numFmtId="0" fontId="45" fillId="38" borderId="117" xfId="44" applyFont="1" applyFill="1" applyBorder="1" applyAlignment="1">
      <alignment horizontal="center" vertical="center"/>
      <protection/>
    </xf>
    <xf numFmtId="0" fontId="47" fillId="38" borderId="118" xfId="44" applyFont="1" applyFill="1" applyBorder="1" applyAlignment="1">
      <alignment horizontal="center" vertical="center"/>
      <protection/>
    </xf>
    <xf numFmtId="4" fontId="11" fillId="0" borderId="116" xfId="44" applyNumberFormat="1" applyFont="1" applyBorder="1" applyAlignment="1">
      <alignment horizontal="center" vertical="center"/>
      <protection/>
    </xf>
    <xf numFmtId="178" fontId="45" fillId="38" borderId="117" xfId="44" applyNumberFormat="1" applyFont="1" applyFill="1" applyBorder="1">
      <alignment/>
      <protection/>
    </xf>
    <xf numFmtId="178" fontId="45" fillId="38" borderId="119" xfId="44" applyNumberFormat="1" applyFont="1" applyFill="1" applyBorder="1">
      <alignment/>
      <protection/>
    </xf>
    <xf numFmtId="0" fontId="45" fillId="38" borderId="119" xfId="44" applyFont="1" applyFill="1" applyBorder="1" applyAlignment="1">
      <alignment horizontal="center"/>
      <protection/>
    </xf>
    <xf numFmtId="0" fontId="45" fillId="38" borderId="118" xfId="44" applyFont="1" applyFill="1" applyBorder="1" applyAlignment="1">
      <alignment horizontal="center"/>
      <protection/>
    </xf>
    <xf numFmtId="0" fontId="19" fillId="0" borderId="24" xfId="44" applyBorder="1">
      <alignment/>
      <protection/>
    </xf>
    <xf numFmtId="49" fontId="49" fillId="0" borderId="24" xfId="44" applyNumberFormat="1" applyFont="1" applyBorder="1" applyAlignment="1">
      <alignment horizontal="center" vertical="center"/>
      <protection/>
    </xf>
    <xf numFmtId="49" fontId="31" fillId="0" borderId="0" xfId="44" applyNumberFormat="1" applyFont="1" applyAlignment="1">
      <alignment horizontal="center" vertical="center"/>
      <protection/>
    </xf>
    <xf numFmtId="49" fontId="31" fillId="0" borderId="0" xfId="44" applyNumberFormat="1" applyFont="1" applyAlignment="1">
      <alignment horizontal="center"/>
      <protection/>
    </xf>
    <xf numFmtId="0" fontId="31" fillId="0" borderId="0" xfId="44" applyFont="1">
      <alignment/>
      <protection/>
    </xf>
    <xf numFmtId="1" fontId="31" fillId="0" borderId="0" xfId="44" applyNumberFormat="1" applyFont="1">
      <alignment/>
      <protection/>
    </xf>
    <xf numFmtId="178" fontId="31" fillId="0" borderId="0" xfId="44" applyNumberFormat="1" applyFont="1">
      <alignment/>
      <protection/>
    </xf>
    <xf numFmtId="0" fontId="17" fillId="0" borderId="0" xfId="44" applyFont="1">
      <alignment/>
      <protection/>
    </xf>
    <xf numFmtId="0" fontId="17" fillId="0" borderId="0" xfId="44" applyFont="1" applyAlignment="1">
      <alignment vertical="top"/>
      <protection/>
    </xf>
    <xf numFmtId="0" fontId="31" fillId="0" borderId="0" xfId="44" applyFont="1" applyAlignment="1">
      <alignment vertical="top"/>
      <protection/>
    </xf>
    <xf numFmtId="49" fontId="31" fillId="0" borderId="0" xfId="44" applyNumberFormat="1" applyFont="1" applyAlignment="1">
      <alignment horizontal="center"/>
      <protection/>
    </xf>
    <xf numFmtId="0" fontId="17" fillId="0" borderId="0" xfId="44" applyFont="1">
      <alignment/>
      <protection/>
    </xf>
    <xf numFmtId="0" fontId="31" fillId="0" borderId="0" xfId="44" applyFont="1">
      <alignment/>
      <protection/>
    </xf>
    <xf numFmtId="9" fontId="19" fillId="0" borderId="0" xfId="44" applyNumberFormat="1">
      <alignment/>
      <protection/>
    </xf>
    <xf numFmtId="4" fontId="19" fillId="0" borderId="0" xfId="44" applyNumberFormat="1">
      <alignment/>
      <protection/>
    </xf>
    <xf numFmtId="179" fontId="0" fillId="0" borderId="0" xfId="57" applyNumberFormat="1" applyAlignment="1">
      <alignment/>
    </xf>
    <xf numFmtId="9" fontId="0" fillId="0" borderId="0" xfId="54" applyAlignment="1">
      <alignment/>
    </xf>
    <xf numFmtId="0" fontId="14" fillId="0" borderId="120" xfId="44" applyFont="1" applyBorder="1" applyAlignment="1">
      <alignment horizontal="center" vertical="center"/>
      <protection/>
    </xf>
    <xf numFmtId="0" fontId="11" fillId="0" borderId="109" xfId="44" applyFont="1" applyBorder="1" applyAlignment="1">
      <alignment horizontal="center"/>
      <protection/>
    </xf>
    <xf numFmtId="0" fontId="43" fillId="38" borderId="120" xfId="44" applyFont="1" applyFill="1" applyBorder="1" applyAlignment="1">
      <alignment horizontal="center"/>
      <protection/>
    </xf>
    <xf numFmtId="0" fontId="45" fillId="38" borderId="40" xfId="44" applyFont="1" applyFill="1" applyBorder="1" applyAlignment="1">
      <alignment horizontal="center"/>
      <protection/>
    </xf>
    <xf numFmtId="0" fontId="14" fillId="34" borderId="120" xfId="44" applyFont="1" applyFill="1" applyBorder="1" applyAlignment="1">
      <alignment horizontal="center" vertical="center"/>
      <protection/>
    </xf>
    <xf numFmtId="0" fontId="45" fillId="38" borderId="120" xfId="44" applyFont="1" applyFill="1" applyBorder="1" applyAlignment="1">
      <alignment horizontal="center"/>
      <protection/>
    </xf>
    <xf numFmtId="0" fontId="45" fillId="0" borderId="120" xfId="44" applyFont="1" applyBorder="1" applyAlignment="1">
      <alignment horizontal="center"/>
      <protection/>
    </xf>
    <xf numFmtId="0" fontId="52" fillId="34" borderId="102" xfId="44" applyFont="1" applyFill="1" applyBorder="1" applyAlignment="1">
      <alignment horizontal="center" vertical="center"/>
      <protection/>
    </xf>
    <xf numFmtId="0" fontId="52" fillId="37" borderId="102" xfId="51" applyFont="1" applyFill="1" applyBorder="1" applyAlignment="1">
      <alignment horizontal="center" vertical="center" wrapText="1"/>
      <protection/>
    </xf>
    <xf numFmtId="0" fontId="52" fillId="37" borderId="102" xfId="51" applyFont="1" applyFill="1" applyBorder="1" applyAlignment="1">
      <alignment horizontal="justify" vertical="center" wrapText="1"/>
      <protection/>
    </xf>
    <xf numFmtId="3" fontId="52" fillId="34" borderId="102" xfId="44" applyNumberFormat="1" applyFont="1" applyFill="1" applyBorder="1" applyAlignment="1">
      <alignment horizontal="right" vertical="center"/>
      <protection/>
    </xf>
    <xf numFmtId="0" fontId="52" fillId="34" borderId="102" xfId="51" applyFont="1" applyFill="1" applyBorder="1" applyAlignment="1">
      <alignment horizontal="center" vertical="center" wrapText="1"/>
      <protection/>
    </xf>
    <xf numFmtId="9" fontId="52" fillId="37" borderId="102" xfId="54" applyFont="1" applyFill="1" applyBorder="1" applyAlignment="1" applyProtection="1">
      <alignment horizontal="center" vertical="center" wrapText="1"/>
      <protection/>
    </xf>
    <xf numFmtId="173" fontId="52" fillId="34" borderId="105" xfId="51" applyNumberFormat="1" applyFont="1" applyFill="1" applyBorder="1" applyAlignment="1">
      <alignment horizontal="center" vertical="center" wrapText="1"/>
      <protection/>
    </xf>
    <xf numFmtId="0" fontId="52" fillId="34" borderId="120" xfId="44" applyFont="1" applyFill="1" applyBorder="1" applyAlignment="1">
      <alignment horizontal="center" vertical="center"/>
      <protection/>
    </xf>
    <xf numFmtId="0" fontId="53" fillId="34" borderId="104" xfId="44" applyFont="1" applyFill="1" applyBorder="1" applyAlignment="1">
      <alignment horizontal="center" vertical="center" wrapText="1"/>
      <protection/>
    </xf>
    <xf numFmtId="0" fontId="54" fillId="34" borderId="0" xfId="44" applyFont="1" applyFill="1">
      <alignment/>
      <protection/>
    </xf>
    <xf numFmtId="0" fontId="52" fillId="0" borderId="10" xfId="44" applyFont="1" applyBorder="1" applyAlignment="1">
      <alignment horizontal="center" vertical="center"/>
      <protection/>
    </xf>
    <xf numFmtId="0" fontId="52" fillId="37" borderId="113" xfId="51" applyFont="1" applyFill="1" applyBorder="1" applyAlignment="1">
      <alignment horizontal="left" vertical="center" wrapText="1"/>
      <protection/>
    </xf>
    <xf numFmtId="37" fontId="55" fillId="0" borderId="10" xfId="57" applyNumberFormat="1" applyFont="1" applyBorder="1" applyAlignment="1">
      <alignment horizontal="right" vertical="center" wrapText="1"/>
    </xf>
    <xf numFmtId="9" fontId="52" fillId="37" borderId="102" xfId="51" applyNumberFormat="1" applyFont="1" applyFill="1" applyBorder="1" applyAlignment="1">
      <alignment horizontal="center" vertical="center" wrapText="1"/>
      <protection/>
    </xf>
    <xf numFmtId="9" fontId="52" fillId="37" borderId="102" xfId="54" applyFont="1" applyFill="1" applyBorder="1" applyAlignment="1" quotePrefix="1">
      <alignment horizontal="center" vertical="top" wrapText="1"/>
    </xf>
    <xf numFmtId="0" fontId="52" fillId="0" borderId="40" xfId="44" applyFont="1" applyBorder="1" applyAlignment="1">
      <alignment horizontal="center" vertical="center"/>
      <protection/>
    </xf>
    <xf numFmtId="0" fontId="53" fillId="0" borderId="17" xfId="51" applyFont="1" applyBorder="1" applyAlignment="1">
      <alignment horizontal="left" vertical="center" wrapText="1"/>
      <protection/>
    </xf>
    <xf numFmtId="0" fontId="54" fillId="0" borderId="0" xfId="44" applyFont="1">
      <alignment/>
      <protection/>
    </xf>
    <xf numFmtId="9" fontId="52" fillId="37" borderId="102" xfId="54" applyFont="1" applyFill="1" applyBorder="1" applyAlignment="1" quotePrefix="1">
      <alignment horizontal="center" vertical="center" wrapText="1"/>
    </xf>
    <xf numFmtId="0" fontId="53" fillId="0" borderId="17" xfId="51" applyFont="1" applyBorder="1" applyAlignment="1">
      <alignment horizontal="justify" vertical="center" wrapText="1"/>
      <protection/>
    </xf>
    <xf numFmtId="165" fontId="39" fillId="0" borderId="120" xfId="66" applyNumberFormat="1" applyFont="1" applyBorder="1" applyAlignment="1">
      <alignment horizontal="center" vertical="center"/>
    </xf>
    <xf numFmtId="0" fontId="39" fillId="0" borderId="120" xfId="44" applyFont="1" applyBorder="1" applyAlignment="1">
      <alignment horizontal="center" vertical="center"/>
      <protection/>
    </xf>
    <xf numFmtId="0" fontId="39" fillId="0" borderId="120" xfId="44" applyFont="1" applyBorder="1" applyAlignment="1">
      <alignment horizontal="justify" vertical="center" wrapText="1"/>
      <protection/>
    </xf>
    <xf numFmtId="0" fontId="39" fillId="0" borderId="104" xfId="44" applyFont="1" applyBorder="1" applyAlignment="1">
      <alignment horizontal="justify" vertical="center" wrapText="1"/>
      <protection/>
    </xf>
    <xf numFmtId="9" fontId="39" fillId="0" borderId="120" xfId="53" applyFont="1" applyBorder="1" applyAlignment="1">
      <alignment horizontal="center" vertical="center"/>
    </xf>
    <xf numFmtId="0" fontId="57" fillId="38" borderId="108" xfId="44" applyFont="1" applyFill="1" applyBorder="1" applyAlignment="1">
      <alignment horizontal="center"/>
      <protection/>
    </xf>
    <xf numFmtId="3" fontId="19" fillId="0" borderId="0" xfId="44" applyNumberFormat="1" applyAlignment="1">
      <alignment horizontal="center" vertical="center"/>
      <protection/>
    </xf>
    <xf numFmtId="10" fontId="19" fillId="0" borderId="0" xfId="44" applyNumberFormat="1" applyAlignment="1">
      <alignment horizontal="center" vertical="center"/>
      <protection/>
    </xf>
    <xf numFmtId="0" fontId="12" fillId="34" borderId="0" xfId="44" applyFont="1" applyFill="1" applyBorder="1" applyAlignment="1">
      <alignment horizontal="center" vertical="center"/>
      <protection/>
    </xf>
    <xf numFmtId="4" fontId="12" fillId="34" borderId="109" xfId="44" applyNumberFormat="1" applyFont="1" applyFill="1" applyBorder="1" applyAlignment="1">
      <alignment horizontal="center"/>
      <protection/>
    </xf>
    <xf numFmtId="0" fontId="43" fillId="39" borderId="109" xfId="44" applyFont="1" applyFill="1" applyBorder="1" applyAlignment="1">
      <alignment horizontal="center"/>
      <protection/>
    </xf>
    <xf numFmtId="0" fontId="44" fillId="39" borderId="109" xfId="44" applyFont="1" applyFill="1" applyBorder="1" applyAlignment="1">
      <alignment horizontal="center"/>
      <protection/>
    </xf>
    <xf numFmtId="1" fontId="43" fillId="39" borderId="109" xfId="44" applyNumberFormat="1" applyFont="1" applyFill="1" applyBorder="1" applyAlignment="1">
      <alignment horizontal="center"/>
      <protection/>
    </xf>
    <xf numFmtId="178" fontId="43" fillId="39" borderId="109" xfId="44" applyNumberFormat="1" applyFont="1" applyFill="1" applyBorder="1">
      <alignment/>
      <protection/>
    </xf>
    <xf numFmtId="0" fontId="43" fillId="39" borderId="110" xfId="44" applyFont="1" applyFill="1" applyBorder="1" applyAlignment="1">
      <alignment horizontal="center"/>
      <protection/>
    </xf>
    <xf numFmtId="0" fontId="19" fillId="34" borderId="0" xfId="44" applyFill="1">
      <alignment/>
      <protection/>
    </xf>
    <xf numFmtId="167" fontId="0" fillId="0" borderId="0" xfId="57" applyFill="1" applyBorder="1" applyAlignment="1">
      <alignment horizontal="center"/>
    </xf>
    <xf numFmtId="0" fontId="44" fillId="0" borderId="0" xfId="44" applyFont="1" applyFill="1" applyBorder="1" applyAlignment="1">
      <alignment horizontal="center"/>
      <protection/>
    </xf>
    <xf numFmtId="1" fontId="43" fillId="0" borderId="0" xfId="44" applyNumberFormat="1" applyFont="1" applyFill="1" applyBorder="1" applyAlignment="1">
      <alignment horizontal="center"/>
      <protection/>
    </xf>
    <xf numFmtId="178" fontId="43" fillId="0" borderId="0" xfId="44" applyNumberFormat="1" applyFont="1" applyFill="1" applyBorder="1">
      <alignment/>
      <protection/>
    </xf>
    <xf numFmtId="0" fontId="43" fillId="0" borderId="0" xfId="44" applyFont="1" applyFill="1" applyBorder="1" applyAlignment="1">
      <alignment horizontal="center"/>
      <protection/>
    </xf>
    <xf numFmtId="0" fontId="43" fillId="0" borderId="115" xfId="44" applyFont="1" applyFill="1" applyBorder="1" applyAlignment="1">
      <alignment horizontal="center"/>
      <protection/>
    </xf>
    <xf numFmtId="0" fontId="46" fillId="0" borderId="110" xfId="44" applyFont="1" applyBorder="1" applyAlignment="1">
      <alignment horizontal="center"/>
      <protection/>
    </xf>
    <xf numFmtId="9" fontId="14" fillId="0" borderId="40" xfId="53" applyFont="1" applyBorder="1" applyAlignment="1">
      <alignment horizontal="center" vertical="center"/>
    </xf>
    <xf numFmtId="165" fontId="14" fillId="0" borderId="40" xfId="66" applyNumberFormat="1" applyFont="1" applyBorder="1" applyAlignment="1">
      <alignment horizontal="center" vertical="center"/>
    </xf>
    <xf numFmtId="165" fontId="52" fillId="0" borderId="40" xfId="66" applyNumberFormat="1" applyFont="1" applyBorder="1" applyAlignment="1">
      <alignment horizontal="center" vertical="center"/>
    </xf>
    <xf numFmtId="165" fontId="52" fillId="0" borderId="40" xfId="44" applyNumberFormat="1" applyFont="1" applyBorder="1" applyAlignment="1">
      <alignment horizontal="center" vertical="center"/>
      <protection/>
    </xf>
    <xf numFmtId="165" fontId="14" fillId="0" borderId="40" xfId="44" applyNumberFormat="1" applyFont="1" applyBorder="1" applyAlignment="1">
      <alignment horizontal="center" vertical="center"/>
      <protection/>
    </xf>
    <xf numFmtId="167" fontId="19" fillId="0" borderId="0" xfId="66" applyFont="1" applyAlignment="1">
      <alignment horizontal="center" vertical="center"/>
    </xf>
    <xf numFmtId="167" fontId="19" fillId="0" borderId="0" xfId="44" applyNumberFormat="1" applyAlignment="1">
      <alignment horizontal="center" vertical="center"/>
      <protection/>
    </xf>
    <xf numFmtId="0" fontId="39" fillId="0" borderId="40" xfId="44" applyFont="1" applyBorder="1" applyAlignment="1">
      <alignment horizontal="justify" vertical="center" wrapText="1"/>
      <protection/>
    </xf>
    <xf numFmtId="9" fontId="52" fillId="0" borderId="40" xfId="53" applyFont="1" applyBorder="1" applyAlignment="1">
      <alignment horizontal="center" vertical="center"/>
    </xf>
    <xf numFmtId="0" fontId="58" fillId="0" borderId="104" xfId="44" applyFont="1" applyBorder="1" applyAlignment="1">
      <alignment horizontal="justify" vertical="center" wrapText="1"/>
      <protection/>
    </xf>
    <xf numFmtId="0" fontId="39" fillId="34" borderId="120" xfId="44" applyFont="1" applyFill="1" applyBorder="1" applyAlignment="1">
      <alignment horizontal="justify" vertical="center"/>
      <protection/>
    </xf>
    <xf numFmtId="165" fontId="14" fillId="34" borderId="120" xfId="66" applyNumberFormat="1" applyFont="1" applyFill="1" applyBorder="1" applyAlignment="1">
      <alignment horizontal="center" vertical="center"/>
    </xf>
    <xf numFmtId="9" fontId="14" fillId="34" borderId="120" xfId="53" applyFont="1" applyFill="1" applyBorder="1" applyAlignment="1">
      <alignment horizontal="center" vertical="center"/>
    </xf>
    <xf numFmtId="0" fontId="39" fillId="34" borderId="120" xfId="44" applyFont="1" applyFill="1" applyBorder="1" applyAlignment="1">
      <alignment horizontal="justify" vertical="center" wrapText="1"/>
      <protection/>
    </xf>
    <xf numFmtId="9" fontId="39" fillId="0" borderId="10" xfId="53" applyFont="1" applyBorder="1" applyAlignment="1">
      <alignment horizontal="justify" vertical="center" wrapText="1"/>
    </xf>
    <xf numFmtId="0" fontId="56" fillId="0" borderId="120" xfId="44" applyFont="1" applyBorder="1" applyAlignment="1">
      <alignment horizontal="justify" vertical="center" wrapText="1"/>
      <protection/>
    </xf>
    <xf numFmtId="0" fontId="56" fillId="0" borderId="104" xfId="44" applyFont="1" applyBorder="1" applyAlignment="1">
      <alignment horizontal="justify" vertical="center" wrapText="1"/>
      <protection/>
    </xf>
    <xf numFmtId="3" fontId="12" fillId="33" borderId="40" xfId="0" applyNumberFormat="1" applyFont="1" applyFill="1" applyBorder="1" applyAlignment="1">
      <alignment horizontal="center" vertical="center"/>
    </xf>
    <xf numFmtId="0" fontId="12" fillId="0" borderId="40" xfId="0" applyFont="1" applyFill="1" applyBorder="1" applyAlignment="1">
      <alignment horizontal="left" vertical="center" wrapText="1"/>
    </xf>
    <xf numFmtId="3" fontId="12" fillId="0" borderId="40" xfId="0" applyNumberFormat="1" applyFont="1" applyFill="1" applyBorder="1" applyAlignment="1">
      <alignment horizontal="center" vertical="center"/>
    </xf>
    <xf numFmtId="3" fontId="12" fillId="33" borderId="10" xfId="0" applyNumberFormat="1" applyFont="1" applyFill="1" applyBorder="1" applyAlignment="1">
      <alignment horizontal="center" vertical="center"/>
    </xf>
    <xf numFmtId="3" fontId="12" fillId="34" borderId="33" xfId="0" applyNumberFormat="1" applyFont="1" applyFill="1" applyBorder="1" applyAlignment="1">
      <alignment horizontal="center" vertical="center" wrapText="1"/>
    </xf>
    <xf numFmtId="3" fontId="11" fillId="0" borderId="121" xfId="0" applyNumberFormat="1" applyFont="1" applyFill="1" applyBorder="1" applyAlignment="1">
      <alignment horizontal="center" vertical="center" wrapText="1"/>
    </xf>
    <xf numFmtId="9" fontId="11" fillId="0" borderId="121" xfId="53" applyFont="1" applyFill="1" applyBorder="1" applyAlignment="1">
      <alignment horizontal="center" vertical="center" wrapText="1"/>
    </xf>
    <xf numFmtId="0" fontId="58" fillId="34" borderId="104" xfId="44" applyFont="1" applyFill="1" applyBorder="1" applyAlignment="1">
      <alignment horizontal="center" vertical="center" wrapText="1"/>
      <protection/>
    </xf>
    <xf numFmtId="0" fontId="58" fillId="34" borderId="104" xfId="44" applyFont="1" applyFill="1" applyBorder="1" applyAlignment="1">
      <alignment horizontal="justify" vertical="center" wrapText="1"/>
      <protection/>
    </xf>
    <xf numFmtId="3" fontId="59" fillId="0" borderId="43" xfId="0" applyNumberFormat="1" applyFont="1" applyFill="1" applyBorder="1" applyAlignment="1">
      <alignment horizontal="center"/>
    </xf>
    <xf numFmtId="3" fontId="59" fillId="33" borderId="10" xfId="0" applyNumberFormat="1" applyFont="1" applyFill="1" applyBorder="1" applyAlignment="1">
      <alignment horizontal="center"/>
    </xf>
    <xf numFmtId="3" fontId="59" fillId="0" borderId="40" xfId="0" applyNumberFormat="1" applyFont="1" applyFill="1" applyBorder="1" applyAlignment="1">
      <alignment horizontal="center"/>
    </xf>
    <xf numFmtId="3" fontId="59" fillId="33" borderId="40" xfId="0" applyNumberFormat="1" applyFont="1" applyFill="1" applyBorder="1" applyAlignment="1">
      <alignment horizontal="center"/>
    </xf>
    <xf numFmtId="3" fontId="37" fillId="0" borderId="62" xfId="0" applyNumberFormat="1" applyFont="1" applyFill="1" applyBorder="1" applyAlignment="1">
      <alignment horizontal="center" vertical="center" wrapText="1"/>
    </xf>
    <xf numFmtId="3" fontId="59" fillId="33" borderId="43" xfId="0" applyNumberFormat="1" applyFont="1" applyFill="1" applyBorder="1" applyAlignment="1">
      <alignment horizontal="center"/>
    </xf>
    <xf numFmtId="0" fontId="22" fillId="33" borderId="10" xfId="0" applyFont="1" applyFill="1" applyBorder="1" applyAlignment="1">
      <alignment horizontal="center" vertical="center" wrapText="1"/>
    </xf>
    <xf numFmtId="14"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0" fillId="0" borderId="102" xfId="44" applyFont="1" applyBorder="1" applyAlignment="1">
      <alignment horizontal="center" vertical="center"/>
      <protection/>
    </xf>
    <xf numFmtId="0" fontId="60" fillId="34" borderId="102" xfId="51" applyFont="1" applyFill="1" applyBorder="1" applyAlignment="1">
      <alignment horizontal="center" vertical="center" wrapText="1"/>
      <protection/>
    </xf>
    <xf numFmtId="0" fontId="60" fillId="34" borderId="102" xfId="51" applyFont="1" applyFill="1" applyBorder="1" applyAlignment="1">
      <alignment horizontal="justify" vertical="center" wrapText="1"/>
      <protection/>
    </xf>
    <xf numFmtId="3" fontId="61" fillId="0" borderId="102" xfId="57" applyNumberFormat="1" applyFont="1" applyBorder="1" applyAlignment="1">
      <alignment horizontal="right" vertical="center" wrapText="1"/>
    </xf>
    <xf numFmtId="9" fontId="60" fillId="34" borderId="102" xfId="54" applyFont="1" applyFill="1" applyBorder="1" applyAlignment="1" applyProtection="1">
      <alignment horizontal="center" vertical="center" wrapText="1"/>
      <protection/>
    </xf>
    <xf numFmtId="173" fontId="60" fillId="34" borderId="102" xfId="51" applyNumberFormat="1" applyFont="1" applyFill="1" applyBorder="1" applyAlignment="1">
      <alignment horizontal="center" vertical="center" wrapText="1"/>
      <protection/>
    </xf>
    <xf numFmtId="0" fontId="62" fillId="0" borderId="120" xfId="44" applyFont="1" applyBorder="1" applyAlignment="1">
      <alignment horizontal="justify" vertical="center" wrapText="1"/>
      <protection/>
    </xf>
    <xf numFmtId="0" fontId="60" fillId="0" borderId="120" xfId="44" applyFont="1" applyBorder="1" applyAlignment="1">
      <alignment horizontal="center" vertical="center"/>
      <protection/>
    </xf>
    <xf numFmtId="0" fontId="62" fillId="0" borderId="104" xfId="44" applyFont="1" applyBorder="1" applyAlignment="1">
      <alignment horizontal="justify" vertical="center" wrapText="1"/>
      <protection/>
    </xf>
    <xf numFmtId="0" fontId="63" fillId="0" borderId="0" xfId="44" applyFont="1" applyAlignment="1">
      <alignment horizontal="center" wrapText="1"/>
      <protection/>
    </xf>
    <xf numFmtId="166" fontId="64" fillId="0" borderId="0" xfId="44" applyNumberFormat="1" applyFont="1">
      <alignment/>
      <protection/>
    </xf>
    <xf numFmtId="0" fontId="64" fillId="0" borderId="0" xfId="44" applyFont="1">
      <alignment/>
      <protection/>
    </xf>
    <xf numFmtId="0" fontId="16" fillId="0" borderId="10" xfId="44" applyFont="1" applyBorder="1" applyAlignment="1">
      <alignment horizontal="center" vertical="center"/>
      <protection/>
    </xf>
    <xf numFmtId="170" fontId="16" fillId="34" borderId="105" xfId="57" applyNumberFormat="1" applyFont="1" applyFill="1" applyBorder="1" applyAlignment="1" applyProtection="1">
      <alignment horizontal="center" vertical="center" wrapText="1"/>
      <protection locked="0"/>
    </xf>
    <xf numFmtId="0" fontId="16" fillId="34" borderId="102" xfId="51" applyFont="1" applyFill="1" applyBorder="1" applyAlignment="1" applyProtection="1">
      <alignment horizontal="left" vertical="center" wrapText="1"/>
      <protection locked="0"/>
    </xf>
    <xf numFmtId="168" fontId="65" fillId="0" borderId="10" xfId="57" applyNumberFormat="1" applyFont="1" applyBorder="1" applyAlignment="1">
      <alignment horizontal="center" vertical="center" wrapText="1"/>
    </xf>
    <xf numFmtId="0" fontId="16" fillId="34" borderId="102" xfId="51" applyFont="1" applyFill="1" applyBorder="1" applyAlignment="1">
      <alignment horizontal="center" vertical="center" wrapText="1"/>
      <protection/>
    </xf>
    <xf numFmtId="0" fontId="66" fillId="0" borderId="40" xfId="44" applyFont="1" applyBorder="1" applyAlignment="1">
      <alignment horizontal="justify" vertical="center" wrapText="1"/>
      <protection/>
    </xf>
    <xf numFmtId="165" fontId="16" fillId="0" borderId="40" xfId="44" applyNumberFormat="1" applyFont="1" applyBorder="1" applyAlignment="1">
      <alignment horizontal="center" vertical="center"/>
      <protection/>
    </xf>
    <xf numFmtId="0" fontId="16" fillId="0" borderId="40" xfId="44" applyFont="1" applyBorder="1" applyAlignment="1">
      <alignment horizontal="center" vertical="center"/>
      <protection/>
    </xf>
    <xf numFmtId="9" fontId="16" fillId="0" borderId="40" xfId="53" applyFont="1" applyBorder="1" applyAlignment="1">
      <alignment horizontal="center" vertical="center"/>
    </xf>
    <xf numFmtId="0" fontId="66" fillId="0" borderId="114" xfId="44" applyFont="1" applyBorder="1" applyAlignment="1">
      <alignment horizontal="justify" vertical="center" wrapText="1"/>
      <protection/>
    </xf>
    <xf numFmtId="0" fontId="60" fillId="0" borderId="10" xfId="44" applyFont="1" applyBorder="1" applyAlignment="1">
      <alignment horizontal="center" vertical="center"/>
      <protection/>
    </xf>
    <xf numFmtId="170" fontId="60" fillId="34" borderId="102" xfId="57" applyNumberFormat="1" applyFont="1" applyFill="1" applyBorder="1" applyAlignment="1" applyProtection="1">
      <alignment horizontal="center" vertical="center" wrapText="1"/>
      <protection locked="0"/>
    </xf>
    <xf numFmtId="0" fontId="60" fillId="34" borderId="102" xfId="51" applyFont="1" applyFill="1" applyBorder="1" applyAlignment="1" applyProtection="1">
      <alignment horizontal="left" vertical="center" wrapText="1"/>
      <protection locked="0"/>
    </xf>
    <xf numFmtId="168" fontId="61" fillId="34" borderId="10" xfId="57" applyNumberFormat="1" applyFont="1" applyFill="1" applyBorder="1" applyAlignment="1">
      <alignment horizontal="center" vertical="center" wrapText="1"/>
    </xf>
    <xf numFmtId="173" fontId="60" fillId="34" borderId="105" xfId="51" applyNumberFormat="1" applyFont="1" applyFill="1" applyBorder="1" applyAlignment="1">
      <alignment horizontal="center" vertical="center" wrapText="1"/>
      <protection/>
    </xf>
    <xf numFmtId="0" fontId="62" fillId="34" borderId="40" xfId="44" applyFont="1" applyFill="1" applyBorder="1" applyAlignment="1">
      <alignment horizontal="justify" vertical="center" wrapText="1"/>
      <protection/>
    </xf>
    <xf numFmtId="165" fontId="60" fillId="34" borderId="40" xfId="44" applyNumberFormat="1" applyFont="1" applyFill="1" applyBorder="1" applyAlignment="1">
      <alignment horizontal="center" vertical="center"/>
      <protection/>
    </xf>
    <xf numFmtId="0" fontId="60" fillId="34" borderId="40" xfId="44" applyFont="1" applyFill="1" applyBorder="1" applyAlignment="1">
      <alignment horizontal="center" vertical="center"/>
      <protection/>
    </xf>
    <xf numFmtId="0" fontId="62" fillId="34" borderId="114" xfId="44" applyFont="1" applyFill="1" applyBorder="1" applyAlignment="1">
      <alignment horizontal="justify" vertical="center"/>
      <protection/>
    </xf>
    <xf numFmtId="0" fontId="64" fillId="34" borderId="0" xfId="44" applyFont="1" applyFill="1">
      <alignment/>
      <protection/>
    </xf>
    <xf numFmtId="170" fontId="60" fillId="34" borderId="10" xfId="57" applyNumberFormat="1" applyFont="1" applyFill="1" applyBorder="1" applyAlignment="1" applyProtection="1">
      <alignment horizontal="center" vertical="center" wrapText="1"/>
      <protection locked="0"/>
    </xf>
    <xf numFmtId="0" fontId="60" fillId="34" borderId="113" xfId="51" applyFont="1" applyFill="1" applyBorder="1" applyAlignment="1" applyProtection="1">
      <alignment horizontal="left" vertical="center" wrapText="1"/>
      <protection locked="0"/>
    </xf>
    <xf numFmtId="0" fontId="60" fillId="34" borderId="122" xfId="51" applyFont="1" applyFill="1" applyBorder="1" applyAlignment="1" applyProtection="1">
      <alignment horizontal="left" vertical="center" wrapText="1"/>
      <protection locked="0"/>
    </xf>
    <xf numFmtId="0" fontId="60" fillId="0" borderId="33" xfId="0" applyFont="1" applyFill="1" applyBorder="1" applyAlignment="1">
      <alignment horizontal="center" vertical="center" wrapText="1"/>
    </xf>
    <xf numFmtId="9" fontId="60" fillId="34" borderId="40" xfId="53" applyFont="1" applyFill="1" applyBorder="1" applyAlignment="1">
      <alignment horizontal="center" vertical="center"/>
    </xf>
    <xf numFmtId="0" fontId="62" fillId="34" borderId="114" xfId="44" applyFont="1" applyFill="1" applyBorder="1" applyAlignment="1">
      <alignment horizontal="justify" vertical="center" wrapText="1"/>
      <protection/>
    </xf>
    <xf numFmtId="170" fontId="60" fillId="34" borderId="105" xfId="57" applyNumberFormat="1" applyFont="1" applyFill="1" applyBorder="1" applyAlignment="1" applyProtection="1">
      <alignment horizontal="center" vertical="center" wrapText="1"/>
      <protection locked="0"/>
    </xf>
    <xf numFmtId="9" fontId="62" fillId="0" borderId="10" xfId="53" applyFont="1" applyBorder="1" applyAlignment="1">
      <alignment horizontal="justify" vertical="center" wrapText="1"/>
    </xf>
    <xf numFmtId="0" fontId="16" fillId="37" borderId="102" xfId="51" applyFont="1" applyFill="1" applyBorder="1" applyAlignment="1">
      <alignment horizontal="center" vertical="center" wrapText="1"/>
      <protection/>
    </xf>
    <xf numFmtId="0" fontId="16" fillId="37" borderId="113" xfId="51" applyFont="1" applyFill="1" applyBorder="1" applyAlignment="1">
      <alignment horizontal="justify" vertical="center" wrapText="1"/>
      <protection/>
    </xf>
    <xf numFmtId="37" fontId="65" fillId="0" borderId="10" xfId="57" applyNumberFormat="1" applyFont="1" applyBorder="1" applyAlignment="1">
      <alignment horizontal="right" vertical="center" wrapText="1"/>
    </xf>
    <xf numFmtId="9" fontId="16" fillId="37" borderId="102" xfId="51" applyNumberFormat="1" applyFont="1" applyFill="1" applyBorder="1" applyAlignment="1">
      <alignment horizontal="center" vertical="center" wrapText="1"/>
      <protection/>
    </xf>
    <xf numFmtId="9" fontId="16" fillId="37" borderId="102" xfId="54" applyFont="1" applyFill="1" applyBorder="1" applyAlignment="1" quotePrefix="1">
      <alignment horizontal="center" vertical="center" wrapText="1"/>
    </xf>
    <xf numFmtId="0" fontId="16" fillId="0" borderId="40" xfId="44" applyFont="1" applyBorder="1" applyAlignment="1">
      <alignment horizontal="center" vertical="center" wrapText="1"/>
      <protection/>
    </xf>
    <xf numFmtId="165" fontId="16" fillId="0" borderId="40" xfId="66" applyNumberFormat="1" applyFont="1" applyBorder="1" applyAlignment="1">
      <alignment horizontal="center" vertical="center"/>
    </xf>
    <xf numFmtId="0" fontId="60" fillId="34" borderId="122" xfId="51" applyFont="1" applyFill="1" applyBorder="1" applyAlignment="1" applyProtection="1">
      <alignment horizontal="justify" vertical="center" wrapText="1"/>
      <protection locked="0"/>
    </xf>
    <xf numFmtId="168" fontId="61" fillId="0" borderId="10" xfId="57" applyNumberFormat="1" applyFont="1" applyBorder="1" applyAlignment="1">
      <alignment horizontal="center" vertical="center" wrapText="1"/>
    </xf>
    <xf numFmtId="9" fontId="60" fillId="34" borderId="105" xfId="53" applyFont="1" applyFill="1" applyBorder="1" applyAlignment="1" applyProtection="1">
      <alignment horizontal="center" vertical="center" wrapText="1"/>
      <protection/>
    </xf>
    <xf numFmtId="0" fontId="62" fillId="0" borderId="40" xfId="44" applyFont="1" applyBorder="1" applyAlignment="1">
      <alignment horizontal="justify" vertical="center" wrapText="1"/>
      <protection/>
    </xf>
    <xf numFmtId="165" fontId="60" fillId="0" borderId="40" xfId="44" applyNumberFormat="1" applyFont="1" applyBorder="1" applyAlignment="1">
      <alignment horizontal="center" vertical="center"/>
      <protection/>
    </xf>
    <xf numFmtId="0" fontId="60" fillId="0" borderId="40" xfId="44" applyFont="1" applyBorder="1" applyAlignment="1">
      <alignment horizontal="center" vertical="center"/>
      <protection/>
    </xf>
    <xf numFmtId="9" fontId="60" fillId="0" borderId="40" xfId="53" applyFont="1" applyBorder="1" applyAlignment="1">
      <alignment horizontal="center" vertical="center"/>
    </xf>
    <xf numFmtId="0" fontId="62" fillId="0" borderId="17" xfId="44" applyFont="1" applyBorder="1" applyAlignment="1">
      <alignment horizontal="justify" vertical="center" wrapText="1"/>
      <protection/>
    </xf>
    <xf numFmtId="167" fontId="63" fillId="0" borderId="0" xfId="66" applyFont="1" applyAlignment="1">
      <alignment horizontal="center" vertical="center" wrapText="1"/>
    </xf>
    <xf numFmtId="9" fontId="64" fillId="0" borderId="0" xfId="53" applyFont="1" applyAlignment="1">
      <alignment/>
    </xf>
    <xf numFmtId="0" fontId="60" fillId="34" borderId="113" xfId="51" applyFont="1" applyFill="1" applyBorder="1" applyAlignment="1">
      <alignment horizontal="center" vertical="center" wrapText="1"/>
      <protection/>
    </xf>
    <xf numFmtId="171" fontId="60" fillId="34" borderId="105" xfId="54" applyNumberFormat="1" applyFont="1" applyFill="1" applyBorder="1" applyAlignment="1" applyProtection="1">
      <alignment horizontal="center" vertical="center" wrapText="1"/>
      <protection/>
    </xf>
    <xf numFmtId="0" fontId="62" fillId="0" borderId="17" xfId="44" applyFont="1" applyBorder="1" applyAlignment="1">
      <alignment horizontal="left" vertical="center" wrapText="1"/>
      <protection/>
    </xf>
    <xf numFmtId="0" fontId="60" fillId="0" borderId="10" xfId="51" applyFont="1" applyFill="1" applyBorder="1" applyAlignment="1">
      <alignment horizontal="center" vertical="center" wrapText="1"/>
      <protection/>
    </xf>
    <xf numFmtId="0" fontId="60" fillId="0" borderId="122" xfId="51" applyFont="1" applyFill="1" applyBorder="1" applyAlignment="1" applyProtection="1">
      <alignment horizontal="justify" vertical="center" wrapText="1"/>
      <protection locked="0"/>
    </xf>
    <xf numFmtId="0" fontId="67" fillId="0" borderId="33" xfId="0" applyFont="1" applyFill="1" applyBorder="1" applyAlignment="1">
      <alignment horizontal="center" vertical="center" wrapText="1"/>
    </xf>
    <xf numFmtId="9" fontId="60" fillId="0" borderId="102" xfId="54" applyFont="1" applyFill="1" applyBorder="1" applyAlignment="1" applyProtection="1">
      <alignment horizontal="center" vertical="center" wrapText="1"/>
      <protection/>
    </xf>
    <xf numFmtId="9" fontId="60" fillId="0" borderId="105" xfId="54" applyFont="1" applyFill="1" applyBorder="1" applyAlignment="1" applyProtection="1">
      <alignment horizontal="center" vertical="center" wrapText="1"/>
      <protection/>
    </xf>
    <xf numFmtId="9" fontId="62" fillId="0" borderId="33" xfId="53" applyFont="1" applyBorder="1" applyAlignment="1">
      <alignment horizontal="center" vertical="center" wrapText="1" shrinkToFit="1"/>
    </xf>
    <xf numFmtId="165" fontId="60" fillId="0" borderId="40" xfId="66" applyNumberFormat="1" applyFont="1" applyBorder="1" applyAlignment="1">
      <alignment horizontal="center" vertical="center"/>
    </xf>
    <xf numFmtId="0" fontId="60" fillId="34" borderId="10" xfId="51" applyFont="1" applyFill="1" applyBorder="1" applyAlignment="1">
      <alignment horizontal="center" vertical="center" wrapText="1"/>
      <protection/>
    </xf>
    <xf numFmtId="0" fontId="60" fillId="37" borderId="122" xfId="51" applyFont="1" applyFill="1" applyBorder="1" applyAlignment="1" applyProtection="1">
      <alignment horizontal="justify" vertical="center" wrapText="1"/>
      <protection locked="0"/>
    </xf>
    <xf numFmtId="0" fontId="62" fillId="0" borderId="114" xfId="44" applyFont="1" applyBorder="1" applyAlignment="1">
      <alignment horizontal="justify" vertical="center"/>
      <protection/>
    </xf>
    <xf numFmtId="168" fontId="64" fillId="0" borderId="0" xfId="44" applyNumberFormat="1" applyFont="1">
      <alignment/>
      <protection/>
    </xf>
    <xf numFmtId="0" fontId="60" fillId="34" borderId="123" xfId="51" applyFont="1" applyFill="1" applyBorder="1" applyAlignment="1">
      <alignment horizontal="center" vertical="center" wrapText="1"/>
      <protection/>
    </xf>
    <xf numFmtId="0" fontId="62" fillId="0" borderId="114" xfId="44" applyFont="1" applyBorder="1" applyAlignment="1">
      <alignment horizontal="justify" vertical="center" wrapText="1"/>
      <protection/>
    </xf>
    <xf numFmtId="9" fontId="60" fillId="34" borderId="102" xfId="53" applyFont="1" applyFill="1" applyBorder="1" applyAlignment="1" applyProtection="1">
      <alignment horizontal="center" vertical="center" wrapText="1"/>
      <protection/>
    </xf>
    <xf numFmtId="0" fontId="60" fillId="37" borderId="102" xfId="51" applyFont="1" applyFill="1" applyBorder="1" applyAlignment="1">
      <alignment horizontal="center" vertical="center" wrapText="1"/>
      <protection/>
    </xf>
    <xf numFmtId="0" fontId="60" fillId="37" borderId="102" xfId="51" applyFont="1" applyFill="1" applyBorder="1" applyAlignment="1">
      <alignment horizontal="justify" vertical="center" wrapText="1"/>
      <protection/>
    </xf>
    <xf numFmtId="3" fontId="60" fillId="34" borderId="102" xfId="44" applyNumberFormat="1" applyFont="1" applyFill="1" applyBorder="1" applyAlignment="1">
      <alignment horizontal="right" vertical="center"/>
      <protection/>
    </xf>
    <xf numFmtId="0" fontId="60" fillId="34" borderId="102" xfId="44" applyFont="1" applyFill="1" applyBorder="1" applyAlignment="1">
      <alignment horizontal="center" vertical="center"/>
      <protection/>
    </xf>
    <xf numFmtId="9" fontId="60" fillId="37" borderId="102" xfId="54" applyFont="1" applyFill="1" applyBorder="1" applyAlignment="1" applyProtection="1">
      <alignment horizontal="center" vertical="center" wrapText="1"/>
      <protection/>
    </xf>
    <xf numFmtId="9" fontId="62" fillId="0" borderId="33" xfId="53" applyFont="1" applyBorder="1" applyAlignment="1">
      <alignment horizontal="justify" vertical="center" wrapText="1"/>
    </xf>
    <xf numFmtId="0" fontId="60" fillId="34" borderId="120" xfId="44" applyFont="1" applyFill="1" applyBorder="1" applyAlignment="1">
      <alignment horizontal="center" vertical="center"/>
      <protection/>
    </xf>
    <xf numFmtId="0" fontId="62" fillId="34" borderId="104" xfId="44" applyFont="1" applyFill="1" applyBorder="1" applyAlignment="1">
      <alignment horizontal="justify" wrapText="1"/>
      <protection/>
    </xf>
    <xf numFmtId="3" fontId="64" fillId="0" borderId="0" xfId="44" applyNumberFormat="1" applyFont="1">
      <alignment/>
      <protection/>
    </xf>
    <xf numFmtId="0" fontId="62" fillId="34" borderId="104" xfId="44" applyFont="1" applyFill="1" applyBorder="1" applyAlignment="1">
      <alignment horizontal="justify" vertical="top" wrapText="1"/>
      <protection/>
    </xf>
    <xf numFmtId="0" fontId="62" fillId="0" borderId="10" xfId="0" applyFont="1" applyBorder="1" applyAlignment="1" applyProtection="1">
      <alignment horizontal="justify" vertical="center" wrapText="1"/>
      <protection locked="0"/>
    </xf>
    <xf numFmtId="0" fontId="60" fillId="37" borderId="102" xfId="51" applyFont="1" applyFill="1" applyBorder="1" applyAlignment="1">
      <alignment horizontal="justify" vertical="top" wrapText="1"/>
      <protection/>
    </xf>
    <xf numFmtId="9" fontId="62" fillId="0" borderId="10" xfId="53" applyFont="1" applyBorder="1" applyAlignment="1">
      <alignment horizontal="center" vertical="center" wrapText="1"/>
    </xf>
    <xf numFmtId="0" fontId="62" fillId="34" borderId="104" xfId="44" applyFont="1" applyFill="1" applyBorder="1" applyAlignment="1">
      <alignment horizontal="justify" vertical="center" wrapText="1"/>
      <protection/>
    </xf>
    <xf numFmtId="0" fontId="63" fillId="0" borderId="0" xfId="44" applyFont="1">
      <alignment/>
      <protection/>
    </xf>
    <xf numFmtId="3" fontId="63" fillId="0" borderId="0" xfId="44" applyNumberFormat="1" applyFont="1">
      <alignment/>
      <protection/>
    </xf>
    <xf numFmtId="0" fontId="52" fillId="0" borderId="102" xfId="44" applyFont="1" applyBorder="1" applyAlignment="1">
      <alignment horizontal="center" vertical="center"/>
      <protection/>
    </xf>
    <xf numFmtId="9" fontId="62" fillId="0" borderId="120" xfId="53" applyFont="1" applyBorder="1" applyAlignment="1">
      <alignment horizontal="center" vertical="center"/>
    </xf>
    <xf numFmtId="165" fontId="62" fillId="0" borderId="120" xfId="66" applyNumberFormat="1" applyFont="1" applyBorder="1" applyAlignment="1">
      <alignment horizontal="center" vertical="center"/>
    </xf>
    <xf numFmtId="1" fontId="27" fillId="0" borderId="24" xfId="53" applyNumberFormat="1" applyFont="1" applyFill="1" applyBorder="1" applyAlignment="1">
      <alignment vertical="top"/>
    </xf>
    <xf numFmtId="4" fontId="10" fillId="0" borderId="0" xfId="0" applyNumberFormat="1" applyFont="1" applyAlignment="1">
      <alignment/>
    </xf>
    <xf numFmtId="167" fontId="25" fillId="0" borderId="0" xfId="0" applyNumberFormat="1" applyFont="1" applyAlignment="1">
      <alignment/>
    </xf>
    <xf numFmtId="0" fontId="10" fillId="0" borderId="11" xfId="0" applyFont="1" applyBorder="1" applyAlignment="1">
      <alignment horizontal="left" vertical="top" wrapText="1"/>
    </xf>
    <xf numFmtId="3" fontId="11" fillId="0" borderId="57" xfId="0" applyNumberFormat="1" applyFont="1" applyFill="1" applyBorder="1" applyAlignment="1">
      <alignment horizontal="center" vertical="center" wrapText="1"/>
    </xf>
    <xf numFmtId="0" fontId="12" fillId="0" borderId="58" xfId="0" applyFont="1" applyFill="1" applyBorder="1" applyAlignment="1">
      <alignment horizontal="left" vertical="center" wrapText="1"/>
    </xf>
    <xf numFmtId="0" fontId="11" fillId="0" borderId="91" xfId="0" applyFont="1" applyFill="1" applyBorder="1" applyAlignment="1">
      <alignment horizontal="left" vertical="center" wrapText="1" indent="1"/>
    </xf>
    <xf numFmtId="0" fontId="10" fillId="0" borderId="10" xfId="0" applyFont="1" applyBorder="1" applyAlignment="1" applyProtection="1">
      <alignment horizontal="justify" vertical="top" wrapText="1"/>
      <protection locked="0"/>
    </xf>
    <xf numFmtId="0" fontId="105" fillId="0" borderId="10" xfId="0" applyFont="1" applyBorder="1" applyAlignment="1" applyProtection="1">
      <alignment horizontal="justify" vertical="top" wrapText="1"/>
      <protection locked="0"/>
    </xf>
    <xf numFmtId="0" fontId="10" fillId="0" borderId="10" xfId="0" applyFont="1" applyBorder="1" applyAlignment="1" applyProtection="1">
      <alignment horizontal="left" vertical="top" wrapText="1"/>
      <protection locked="0"/>
    </xf>
    <xf numFmtId="0" fontId="27" fillId="33" borderId="11" xfId="0" applyFont="1" applyFill="1" applyBorder="1" applyAlignment="1">
      <alignment horizontal="center" vertical="top"/>
    </xf>
    <xf numFmtId="0" fontId="105" fillId="0" borderId="10" xfId="0" applyFont="1" applyBorder="1" applyAlignment="1" applyProtection="1">
      <alignment horizontal="left" vertical="top" wrapText="1"/>
      <protection locked="0"/>
    </xf>
    <xf numFmtId="0" fontId="10" fillId="0" borderId="18" xfId="0" applyFont="1" applyBorder="1" applyAlignment="1" applyProtection="1">
      <alignment horizontal="left" vertical="top" wrapText="1"/>
      <protection locked="0"/>
    </xf>
    <xf numFmtId="0" fontId="105" fillId="0" borderId="18" xfId="0" applyFont="1" applyBorder="1" applyAlignment="1" applyProtection="1">
      <alignment horizontal="left" vertical="top" wrapText="1"/>
      <protection locked="0"/>
    </xf>
    <xf numFmtId="0" fontId="10" fillId="0" borderId="0" xfId="0" applyFont="1" applyAlignment="1">
      <alignment/>
    </xf>
    <xf numFmtId="0" fontId="27" fillId="33" borderId="18" xfId="0" applyFont="1" applyFill="1" applyBorder="1" applyAlignment="1">
      <alignment horizontal="center"/>
    </xf>
    <xf numFmtId="0" fontId="27" fillId="33" borderId="19" xfId="0" applyFont="1" applyFill="1" applyBorder="1" applyAlignment="1">
      <alignment horizontal="center"/>
    </xf>
    <xf numFmtId="0" fontId="10" fillId="0" borderId="88" xfId="0" applyFont="1" applyBorder="1" applyAlignment="1" applyProtection="1">
      <alignment horizontal="justify" vertical="top" wrapText="1"/>
      <protection locked="0"/>
    </xf>
    <xf numFmtId="0" fontId="10" fillId="0" borderId="10" xfId="0" applyFont="1" applyBorder="1" applyAlignment="1">
      <alignment horizontal="center" vertical="top" wrapText="1"/>
    </xf>
    <xf numFmtId="0" fontId="10" fillId="0" borderId="124" xfId="0" applyFont="1" applyBorder="1" applyAlignment="1">
      <alignment horizontal="justify" vertical="top" wrapText="1" shrinkToFit="1"/>
    </xf>
    <xf numFmtId="0" fontId="10" fillId="0" borderId="124" xfId="0" applyFont="1" applyBorder="1" applyAlignment="1">
      <alignment vertical="top" wrapText="1" shrinkToFit="1"/>
    </xf>
    <xf numFmtId="0" fontId="10" fillId="0" borderId="124" xfId="0" applyFont="1" applyBorder="1" applyAlignment="1">
      <alignment horizontal="center" vertical="top" wrapText="1" shrinkToFit="1"/>
    </xf>
    <xf numFmtId="14" fontId="10" fillId="0" borderId="124" xfId="0" applyNumberFormat="1" applyFont="1" applyBorder="1" applyAlignment="1">
      <alignment horizontal="center" vertical="top" wrapText="1" shrinkToFit="1"/>
    </xf>
    <xf numFmtId="0" fontId="10" fillId="0" borderId="74" xfId="0" applyFont="1" applyBorder="1" applyAlignment="1" applyProtection="1">
      <alignment horizontal="justify" vertical="top" wrapText="1"/>
      <protection locked="0"/>
    </xf>
    <xf numFmtId="0" fontId="10" fillId="0" borderId="10" xfId="0" applyFont="1" applyBorder="1" applyAlignment="1">
      <alignment horizontal="left" vertical="top" wrapText="1" shrinkToFit="1"/>
    </xf>
    <xf numFmtId="0" fontId="20" fillId="0" borderId="10" xfId="0" applyFont="1" applyBorder="1" applyAlignment="1" applyProtection="1">
      <alignment horizontal="justify" vertical="top" wrapText="1"/>
      <protection locked="0"/>
    </xf>
    <xf numFmtId="0" fontId="10" fillId="0" borderId="10" xfId="0" applyFont="1" applyBorder="1" applyAlignment="1">
      <alignment/>
    </xf>
    <xf numFmtId="0" fontId="20" fillId="0" borderId="10" xfId="0" applyFont="1" applyBorder="1" applyAlignment="1" applyProtection="1">
      <alignment horizontal="left" vertical="top" wrapText="1"/>
      <protection locked="0"/>
    </xf>
    <xf numFmtId="0" fontId="19" fillId="0" borderId="10" xfId="0" applyFont="1" applyBorder="1" applyAlignment="1" applyProtection="1">
      <alignment horizontal="justify" vertical="top" wrapText="1"/>
      <protection locked="0"/>
    </xf>
    <xf numFmtId="0" fontId="10" fillId="0" borderId="17" xfId="0" applyFont="1" applyBorder="1" applyAlignment="1">
      <alignment horizontal="left" vertical="top" wrapText="1" shrinkToFit="1"/>
    </xf>
    <xf numFmtId="0" fontId="10" fillId="0" borderId="18" xfId="0" applyFont="1" applyBorder="1" applyAlignment="1" applyProtection="1">
      <alignment horizontal="justify" vertical="top" wrapText="1"/>
      <protection locked="0"/>
    </xf>
    <xf numFmtId="0" fontId="10" fillId="0" borderId="10" xfId="0" applyFont="1" applyBorder="1" applyAlignment="1">
      <alignment vertical="top" wrapText="1" shrinkToFit="1"/>
    </xf>
    <xf numFmtId="0" fontId="10" fillId="0" borderId="10" xfId="0" applyFont="1" applyBorder="1" applyAlignment="1">
      <alignment horizontal="left" vertical="top" wrapText="1"/>
    </xf>
    <xf numFmtId="0" fontId="10" fillId="0" borderId="17" xfId="0" applyFont="1" applyBorder="1" applyAlignment="1">
      <alignment vertical="top" wrapText="1" shrinkToFit="1"/>
    </xf>
    <xf numFmtId="0" fontId="10" fillId="0" borderId="0" xfId="0" applyFont="1" applyBorder="1" applyAlignment="1">
      <alignment horizontal="justify" vertical="top" wrapText="1" shrinkToFit="1"/>
    </xf>
    <xf numFmtId="0" fontId="10" fillId="0" borderId="13" xfId="0" applyFont="1" applyBorder="1" applyAlignment="1" applyProtection="1">
      <alignment horizontal="left" vertical="top" wrapText="1"/>
      <protection locked="0"/>
    </xf>
    <xf numFmtId="0" fontId="10" fillId="0" borderId="13" xfId="0" applyFont="1" applyBorder="1" applyAlignment="1" applyProtection="1">
      <alignment horizontal="justify" vertical="top" wrapText="1"/>
      <protection locked="0"/>
    </xf>
    <xf numFmtId="0" fontId="112" fillId="0" borderId="0" xfId="0" applyFont="1" applyAlignment="1">
      <alignment/>
    </xf>
    <xf numFmtId="3" fontId="10" fillId="0" borderId="21" xfId="0" applyNumberFormat="1" applyFont="1" applyFill="1" applyBorder="1" applyAlignment="1">
      <alignment/>
    </xf>
    <xf numFmtId="0" fontId="8" fillId="0" borderId="24" xfId="0" applyFont="1" applyBorder="1" applyAlignment="1">
      <alignment/>
    </xf>
    <xf numFmtId="0" fontId="27" fillId="40" borderId="11" xfId="0" applyFont="1" applyFill="1" applyBorder="1" applyAlignment="1">
      <alignment horizontal="center" vertical="top"/>
    </xf>
    <xf numFmtId="0" fontId="27" fillId="40" borderId="12" xfId="0" applyFont="1" applyFill="1" applyBorder="1" applyAlignment="1">
      <alignment horizontal="center" vertical="top"/>
    </xf>
    <xf numFmtId="0" fontId="27" fillId="40" borderId="125" xfId="0" applyFont="1" applyFill="1" applyBorder="1" applyAlignment="1">
      <alignment horizontal="center" vertical="top"/>
    </xf>
    <xf numFmtId="0" fontId="10" fillId="40" borderId="0" xfId="0" applyFont="1" applyFill="1" applyAlignment="1">
      <alignment/>
    </xf>
    <xf numFmtId="169" fontId="13"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indent="1"/>
    </xf>
    <xf numFmtId="3" fontId="12" fillId="33" borderId="57" xfId="0" applyNumberFormat="1"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1" fillId="0" borderId="58" xfId="0" applyFont="1" applyFill="1" applyBorder="1" applyAlignment="1">
      <alignment horizontal="justify" vertical="center" wrapText="1"/>
    </xf>
    <xf numFmtId="0" fontId="12" fillId="0" borderId="60" xfId="0" applyFont="1" applyFill="1" applyBorder="1" applyAlignment="1">
      <alignment horizontal="justify" vertical="center" wrapText="1"/>
    </xf>
    <xf numFmtId="0" fontId="11" fillId="0" borderId="60" xfId="0" applyFont="1" applyFill="1" applyBorder="1" applyAlignment="1">
      <alignment horizontal="left" vertical="center" wrapText="1" indent="1"/>
    </xf>
    <xf numFmtId="169" fontId="22" fillId="0" borderId="58" xfId="0" applyNumberFormat="1" applyFont="1" applyFill="1" applyBorder="1" applyAlignment="1">
      <alignment horizontal="center" vertical="center" wrapText="1"/>
    </xf>
    <xf numFmtId="169" fontId="12" fillId="0" borderId="10" xfId="0" applyNumberFormat="1" applyFont="1" applyFill="1" applyBorder="1" applyAlignment="1">
      <alignment horizontal="center" vertical="center" wrapText="1"/>
    </xf>
    <xf numFmtId="0" fontId="12" fillId="0" borderId="33" xfId="0" applyFont="1" applyFill="1" applyBorder="1" applyAlignment="1">
      <alignment horizontal="left" vertical="center" wrapText="1"/>
    </xf>
    <xf numFmtId="0" fontId="11" fillId="0" borderId="58" xfId="0" applyFont="1" applyFill="1" applyBorder="1" applyAlignment="1">
      <alignment horizontal="left" vertical="center" wrapText="1" indent="1"/>
    </xf>
    <xf numFmtId="9" fontId="11" fillId="0" borderId="65" xfId="53" applyFont="1" applyFill="1" applyBorder="1" applyAlignment="1">
      <alignment horizontal="center" vertical="center" wrapText="1"/>
    </xf>
    <xf numFmtId="0" fontId="12" fillId="0" borderId="60" xfId="0" applyFont="1" applyFill="1" applyBorder="1" applyAlignment="1">
      <alignment horizontal="left" vertical="center" wrapText="1"/>
    </xf>
    <xf numFmtId="0" fontId="27" fillId="41" borderId="10" xfId="0" applyFont="1" applyFill="1" applyBorder="1" applyAlignment="1" applyProtection="1">
      <alignment horizontal="left" vertical="top" wrapText="1"/>
      <protection locked="0"/>
    </xf>
    <xf numFmtId="0" fontId="105" fillId="41" borderId="10" xfId="0" applyFont="1" applyFill="1" applyBorder="1" applyAlignment="1" applyProtection="1">
      <alignment horizontal="justify" vertical="top" wrapText="1"/>
      <protection locked="0"/>
    </xf>
    <xf numFmtId="0" fontId="10" fillId="41" borderId="10" xfId="0" applyFont="1" applyFill="1" applyBorder="1" applyAlignment="1" applyProtection="1">
      <alignment horizontal="left" vertical="top" wrapText="1"/>
      <protection locked="0"/>
    </xf>
    <xf numFmtId="0" fontId="20" fillId="41" borderId="10" xfId="0" applyFont="1" applyFill="1" applyBorder="1" applyAlignment="1" applyProtection="1">
      <alignment horizontal="left" vertical="top" wrapText="1"/>
      <protection locked="0"/>
    </xf>
    <xf numFmtId="0" fontId="10" fillId="41" borderId="18" xfId="0" applyFont="1" applyFill="1" applyBorder="1" applyAlignment="1" applyProtection="1">
      <alignment horizontal="justify" vertical="top" wrapText="1"/>
      <protection locked="0"/>
    </xf>
    <xf numFmtId="0" fontId="10" fillId="41" borderId="13" xfId="0" applyFont="1" applyFill="1" applyBorder="1" applyAlignment="1" applyProtection="1">
      <alignment horizontal="left" vertical="top" wrapText="1"/>
      <protection locked="0"/>
    </xf>
    <xf numFmtId="0" fontId="10" fillId="41" borderId="18" xfId="0" applyFont="1" applyFill="1" applyBorder="1" applyAlignment="1" applyProtection="1">
      <alignment horizontal="left" vertical="top" wrapText="1"/>
      <protection locked="0"/>
    </xf>
    <xf numFmtId="0" fontId="27" fillId="42" borderId="11" xfId="0" applyFont="1" applyFill="1" applyBorder="1" applyAlignment="1">
      <alignment horizontal="center" vertical="top"/>
    </xf>
    <xf numFmtId="0" fontId="10" fillId="42" borderId="0" xfId="0" applyFont="1" applyFill="1" applyAlignment="1">
      <alignment/>
    </xf>
    <xf numFmtId="0" fontId="113" fillId="0" borderId="10" xfId="0" applyFont="1" applyBorder="1" applyAlignment="1">
      <alignment/>
    </xf>
    <xf numFmtId="0" fontId="11" fillId="0" borderId="10" xfId="0" applyFont="1" applyBorder="1" applyAlignment="1">
      <alignment vertical="top" wrapText="1"/>
    </xf>
    <xf numFmtId="0" fontId="10" fillId="0" borderId="40" xfId="0" applyFont="1" applyBorder="1" applyAlignment="1">
      <alignment horizontal="left" vertical="top" wrapText="1"/>
    </xf>
    <xf numFmtId="168" fontId="10" fillId="0" borderId="10" xfId="66" applyNumberFormat="1" applyFont="1" applyFill="1" applyBorder="1" applyAlignment="1">
      <alignment horizontal="center" vertical="top"/>
    </xf>
    <xf numFmtId="0" fontId="29" fillId="0" borderId="10" xfId="0" applyFont="1" applyFill="1" applyBorder="1" applyAlignment="1">
      <alignment horizontal="center" vertical="top" wrapText="1"/>
    </xf>
    <xf numFmtId="0" fontId="18" fillId="43" borderId="10" xfId="0" applyFont="1" applyFill="1" applyBorder="1" applyAlignment="1" applyProtection="1">
      <alignment horizontal="center" vertical="center"/>
      <protection locked="0"/>
    </xf>
    <xf numFmtId="0" fontId="10" fillId="0" borderId="0" xfId="0" applyFont="1" applyFill="1" applyBorder="1" applyAlignment="1">
      <alignment/>
    </xf>
    <xf numFmtId="3" fontId="10" fillId="0" borderId="21" xfId="0" applyNumberFormat="1" applyFont="1" applyFill="1" applyBorder="1" applyAlignment="1">
      <alignment horizontal="center"/>
    </xf>
    <xf numFmtId="3" fontId="10" fillId="0" borderId="22" xfId="0" applyNumberFormat="1" applyFont="1" applyFill="1" applyBorder="1" applyAlignment="1">
      <alignment/>
    </xf>
    <xf numFmtId="3" fontId="10" fillId="0" borderId="0" xfId="0" applyNumberFormat="1" applyFont="1" applyFill="1" applyAlignment="1">
      <alignment/>
    </xf>
    <xf numFmtId="0" fontId="10" fillId="0" borderId="0" xfId="0" applyFont="1" applyFill="1" applyAlignment="1">
      <alignment horizontal="right" vertical="top" wrapText="1"/>
    </xf>
    <xf numFmtId="0" fontId="10" fillId="0" borderId="0" xfId="0" applyFont="1" applyFill="1" applyAlignment="1">
      <alignment vertical="top" wrapText="1"/>
    </xf>
    <xf numFmtId="0" fontId="10" fillId="0" borderId="0" xfId="0" applyFont="1" applyFill="1" applyAlignment="1">
      <alignment/>
    </xf>
    <xf numFmtId="0" fontId="11" fillId="0" borderId="0" xfId="0" applyFont="1" applyAlignment="1">
      <alignment/>
    </xf>
    <xf numFmtId="0" fontId="12" fillId="0" borderId="10" xfId="0" applyFont="1" applyBorder="1" applyAlignment="1">
      <alignment vertical="center" wrapText="1"/>
    </xf>
    <xf numFmtId="0" fontId="11" fillId="0" borderId="10" xfId="0" applyFont="1" applyBorder="1" applyAlignment="1">
      <alignment vertical="center" wrapText="1"/>
    </xf>
    <xf numFmtId="0" fontId="12" fillId="0" borderId="10" xfId="0" applyFont="1" applyBorder="1" applyAlignment="1">
      <alignment horizontal="center" vertical="center" wrapText="1"/>
    </xf>
    <xf numFmtId="0" fontId="11" fillId="0" borderId="10" xfId="0" applyFont="1" applyBorder="1" applyAlignment="1">
      <alignment horizontal="center" vertical="center" wrapText="1"/>
    </xf>
    <xf numFmtId="3" fontId="11" fillId="0" borderId="10" xfId="0" applyNumberFormat="1" applyFont="1" applyBorder="1" applyAlignment="1">
      <alignment horizontal="center" vertical="center" wrapText="1"/>
    </xf>
    <xf numFmtId="0" fontId="11" fillId="0" borderId="10" xfId="0" applyFont="1" applyBorder="1" applyAlignment="1">
      <alignment vertical="top" wrapText="1"/>
    </xf>
    <xf numFmtId="0" fontId="114" fillId="0" borderId="10" xfId="0" applyFont="1" applyBorder="1" applyAlignment="1">
      <alignment vertical="center" wrapText="1"/>
    </xf>
    <xf numFmtId="0" fontId="12"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114"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32" fillId="0" borderId="10" xfId="0" applyFont="1" applyBorder="1" applyAlignment="1">
      <alignment horizontal="center" vertical="center" wrapText="1"/>
    </xf>
    <xf numFmtId="0" fontId="12" fillId="44" borderId="10" xfId="0" applyFont="1" applyFill="1" applyBorder="1" applyAlignment="1">
      <alignment horizontal="center" vertical="center" wrapText="1"/>
    </xf>
    <xf numFmtId="0" fontId="25" fillId="0" borderId="0" xfId="0" applyFont="1" applyAlignment="1">
      <alignment vertical="center"/>
    </xf>
    <xf numFmtId="0" fontId="70" fillId="44" borderId="10" xfId="45" applyFont="1" applyFill="1" applyBorder="1" applyAlignment="1" applyProtection="1">
      <alignment horizontal="center" vertical="center" wrapText="1"/>
      <protection/>
    </xf>
    <xf numFmtId="0" fontId="115" fillId="0" borderId="10" xfId="0" applyFont="1" applyBorder="1" applyAlignment="1">
      <alignment vertical="center" wrapText="1"/>
    </xf>
    <xf numFmtId="0" fontId="70" fillId="0" borderId="0" xfId="45" applyFont="1" applyAlignment="1" applyProtection="1">
      <alignment vertical="center"/>
      <protection/>
    </xf>
    <xf numFmtId="0" fontId="8" fillId="0" borderId="95" xfId="0" applyFont="1" applyBorder="1" applyAlignment="1">
      <alignment horizontal="center" vertical="center" wrapText="1"/>
    </xf>
    <xf numFmtId="0" fontId="8" fillId="0" borderId="48" xfId="0" applyFont="1" applyBorder="1" applyAlignment="1">
      <alignment horizontal="center" vertical="center" wrapText="1"/>
    </xf>
    <xf numFmtId="0" fontId="25" fillId="0" borderId="16" xfId="0" applyFont="1" applyBorder="1" applyAlignment="1">
      <alignment horizontal="left" vertical="center" wrapText="1" indent="2"/>
    </xf>
    <xf numFmtId="0" fontId="25" fillId="0" borderId="16" xfId="0" applyFont="1" applyBorder="1" applyAlignment="1">
      <alignment vertical="center" wrapText="1"/>
    </xf>
    <xf numFmtId="0" fontId="25" fillId="0" borderId="48" xfId="0" applyFont="1" applyBorder="1" applyAlignment="1">
      <alignment horizontal="left" vertical="center" wrapText="1" indent="2"/>
    </xf>
    <xf numFmtId="0" fontId="25" fillId="0" borderId="48" xfId="0" applyFont="1" applyBorder="1" applyAlignment="1">
      <alignment vertical="center" wrapText="1"/>
    </xf>
    <xf numFmtId="0" fontId="11" fillId="0" borderId="48" xfId="0" applyFont="1" applyBorder="1" applyAlignment="1">
      <alignment vertical="top" wrapText="1"/>
    </xf>
    <xf numFmtId="0" fontId="25" fillId="0" borderId="16" xfId="0" applyFont="1" applyBorder="1" applyAlignment="1">
      <alignment horizontal="justify" vertical="center" wrapText="1"/>
    </xf>
    <xf numFmtId="0" fontId="25" fillId="0" borderId="48" xfId="0" applyFont="1" applyBorder="1" applyAlignment="1">
      <alignment horizontal="justify" vertical="center" wrapText="1"/>
    </xf>
    <xf numFmtId="0" fontId="11" fillId="0" borderId="16" xfId="0" applyFont="1" applyBorder="1" applyAlignment="1">
      <alignment vertical="top" wrapText="1"/>
    </xf>
    <xf numFmtId="3" fontId="10" fillId="0" borderId="20" xfId="0" applyNumberFormat="1" applyFont="1" applyFill="1" applyBorder="1" applyAlignment="1">
      <alignment horizontal="center"/>
    </xf>
    <xf numFmtId="0" fontId="10" fillId="0" borderId="10" xfId="0" applyFont="1" applyBorder="1" applyAlignment="1" applyProtection="1">
      <alignment horizontal="center" vertical="top" wrapText="1"/>
      <protection locked="0"/>
    </xf>
    <xf numFmtId="0" fontId="10" fillId="0" borderId="10" xfId="0" applyFont="1" applyBorder="1" applyAlignment="1">
      <alignment horizontal="center" vertical="top"/>
    </xf>
    <xf numFmtId="168" fontId="10" fillId="36" borderId="10" xfId="66" applyNumberFormat="1" applyFont="1" applyFill="1" applyBorder="1" applyAlignment="1">
      <alignment horizontal="center" vertical="top"/>
    </xf>
    <xf numFmtId="0" fontId="10" fillId="0" borderId="0" xfId="0" applyFont="1" applyFill="1" applyBorder="1" applyAlignment="1">
      <alignment vertical="top" wrapText="1"/>
    </xf>
    <xf numFmtId="0" fontId="10" fillId="0" borderId="0" xfId="0" applyFont="1" applyAlignment="1">
      <alignment horizontal="center"/>
    </xf>
    <xf numFmtId="0" fontId="12" fillId="33" borderId="125" xfId="0" applyFont="1" applyFill="1" applyBorder="1" applyAlignment="1">
      <alignment horizontal="center"/>
    </xf>
    <xf numFmtId="0" fontId="12" fillId="33" borderId="11" xfId="0" applyFont="1" applyFill="1" applyBorder="1" applyAlignment="1">
      <alignment horizontal="center"/>
    </xf>
    <xf numFmtId="165" fontId="12" fillId="33" borderId="10" xfId="66" applyNumberFormat="1" applyFont="1" applyFill="1" applyBorder="1" applyAlignment="1">
      <alignment horizontal="center"/>
    </xf>
    <xf numFmtId="0" fontId="12" fillId="33" borderId="10" xfId="0" applyFont="1" applyFill="1" applyBorder="1" applyAlignment="1">
      <alignment horizontal="center"/>
    </xf>
    <xf numFmtId="0" fontId="12" fillId="33" borderId="17" xfId="0" applyFont="1" applyFill="1" applyBorder="1" applyAlignment="1">
      <alignment horizontal="center"/>
    </xf>
    <xf numFmtId="167" fontId="11" fillId="0" borderId="0" xfId="66" applyFont="1" applyAlignment="1">
      <alignment/>
    </xf>
    <xf numFmtId="0" fontId="12" fillId="0" borderId="42" xfId="0" applyFont="1" applyBorder="1" applyAlignment="1">
      <alignment horizontal="center" vertical="center" wrapText="1"/>
    </xf>
    <xf numFmtId="0" fontId="12" fillId="0" borderId="42" xfId="0" applyFont="1" applyBorder="1" applyAlignment="1">
      <alignment vertical="center" wrapText="1"/>
    </xf>
    <xf numFmtId="168" fontId="12" fillId="0" borderId="43" xfId="66" applyNumberFormat="1" applyFont="1" applyBorder="1" applyAlignment="1">
      <alignment horizontal="right"/>
    </xf>
    <xf numFmtId="168" fontId="12" fillId="35" borderId="43" xfId="66" applyNumberFormat="1" applyFont="1" applyFill="1" applyBorder="1" applyAlignment="1">
      <alignment horizontal="right"/>
    </xf>
    <xf numFmtId="167" fontId="12" fillId="35" borderId="43" xfId="66" applyFont="1" applyFill="1" applyBorder="1" applyAlignment="1">
      <alignment horizontal="right"/>
    </xf>
    <xf numFmtId="9" fontId="12" fillId="0" borderId="43" xfId="53" applyFont="1" applyBorder="1" applyAlignment="1">
      <alignment horizontal="right"/>
    </xf>
    <xf numFmtId="9" fontId="12" fillId="35" borderId="44" xfId="53" applyFont="1" applyFill="1" applyBorder="1" applyAlignment="1">
      <alignment horizontal="right"/>
    </xf>
    <xf numFmtId="0" fontId="11" fillId="0" borderId="0" xfId="0" applyFont="1" applyBorder="1" applyAlignment="1">
      <alignment/>
    </xf>
    <xf numFmtId="167" fontId="11" fillId="0" borderId="0" xfId="66" applyFont="1" applyBorder="1" applyAlignment="1">
      <alignment/>
    </xf>
    <xf numFmtId="0" fontId="11" fillId="0" borderId="38" xfId="0" applyFont="1" applyBorder="1" applyAlignment="1">
      <alignment horizontal="center" vertical="center" wrapText="1"/>
    </xf>
    <xf numFmtId="0" fontId="11" fillId="0" borderId="36" xfId="0" applyFont="1" applyBorder="1" applyAlignment="1">
      <alignment vertical="center" wrapText="1"/>
    </xf>
    <xf numFmtId="165" fontId="11" fillId="0" borderId="33" xfId="66" applyNumberFormat="1" applyFont="1" applyBorder="1" applyAlignment="1">
      <alignment horizontal="right"/>
    </xf>
    <xf numFmtId="168" fontId="12" fillId="35" borderId="33" xfId="66" applyNumberFormat="1" applyFont="1" applyFill="1" applyBorder="1" applyAlignment="1">
      <alignment horizontal="right"/>
    </xf>
    <xf numFmtId="167" fontId="11" fillId="0" borderId="33" xfId="66" applyFont="1" applyBorder="1" applyAlignment="1">
      <alignment horizontal="right"/>
    </xf>
    <xf numFmtId="167" fontId="12" fillId="35" borderId="33" xfId="66" applyFont="1" applyFill="1" applyBorder="1" applyAlignment="1">
      <alignment horizontal="right"/>
    </xf>
    <xf numFmtId="9" fontId="11" fillId="0" borderId="33" xfId="53" applyFont="1" applyBorder="1" applyAlignment="1">
      <alignment horizontal="right"/>
    </xf>
    <xf numFmtId="9" fontId="12" fillId="35" borderId="34" xfId="53" applyFont="1" applyFill="1" applyBorder="1" applyAlignment="1">
      <alignment horizontal="right"/>
    </xf>
    <xf numFmtId="167" fontId="11" fillId="0" borderId="0" xfId="0" applyNumberFormat="1" applyFont="1" applyAlignment="1">
      <alignment/>
    </xf>
    <xf numFmtId="0" fontId="11" fillId="0" borderId="11" xfId="0" applyFont="1" applyBorder="1" applyAlignment="1">
      <alignment horizontal="center" vertical="center" wrapText="1"/>
    </xf>
    <xf numFmtId="165" fontId="11" fillId="0" borderId="10" xfId="66" applyNumberFormat="1" applyFont="1" applyBorder="1" applyAlignment="1">
      <alignment horizontal="right"/>
    </xf>
    <xf numFmtId="168" fontId="12" fillId="35" borderId="10" xfId="66" applyNumberFormat="1" applyFont="1" applyFill="1" applyBorder="1" applyAlignment="1">
      <alignment horizontal="right"/>
    </xf>
    <xf numFmtId="167" fontId="11" fillId="0" borderId="10" xfId="66" applyFont="1" applyBorder="1" applyAlignment="1">
      <alignment horizontal="right"/>
    </xf>
    <xf numFmtId="167" fontId="12" fillId="35" borderId="10" xfId="66" applyFont="1" applyFill="1" applyBorder="1" applyAlignment="1">
      <alignment horizontal="right"/>
    </xf>
    <xf numFmtId="9" fontId="11" fillId="0" borderId="10" xfId="53" applyFont="1" applyBorder="1" applyAlignment="1">
      <alignment horizontal="right"/>
    </xf>
    <xf numFmtId="9" fontId="12" fillId="35" borderId="17" xfId="53" applyFont="1" applyFill="1" applyBorder="1" applyAlignment="1">
      <alignment horizontal="right"/>
    </xf>
    <xf numFmtId="0" fontId="12" fillId="0" borderId="11" xfId="0" applyFont="1" applyBorder="1" applyAlignment="1">
      <alignment horizontal="center" vertical="center" wrapText="1"/>
    </xf>
    <xf numFmtId="0" fontId="12" fillId="0" borderId="11" xfId="0" applyFont="1" applyBorder="1" applyAlignment="1">
      <alignment vertical="center" wrapText="1"/>
    </xf>
    <xf numFmtId="168" fontId="12" fillId="0" borderId="10" xfId="66" applyNumberFormat="1" applyFont="1" applyBorder="1" applyAlignment="1">
      <alignment horizontal="right"/>
    </xf>
    <xf numFmtId="9" fontId="12" fillId="0" borderId="10" xfId="53" applyFont="1" applyBorder="1" applyAlignment="1">
      <alignment horizontal="right"/>
    </xf>
    <xf numFmtId="0" fontId="11" fillId="0" borderId="11" xfId="0" applyFont="1" applyBorder="1" applyAlignment="1">
      <alignment vertical="center" wrapText="1"/>
    </xf>
    <xf numFmtId="168" fontId="11" fillId="0" borderId="10" xfId="66" applyNumberFormat="1" applyFont="1" applyBorder="1" applyAlignment="1">
      <alignment horizontal="right"/>
    </xf>
    <xf numFmtId="3" fontId="11" fillId="34" borderId="10" xfId="0" applyNumberFormat="1" applyFont="1" applyFill="1" applyBorder="1" applyAlignment="1">
      <alignment horizontal="right"/>
    </xf>
    <xf numFmtId="0" fontId="11" fillId="0" borderId="10" xfId="53" applyNumberFormat="1" applyFont="1" applyBorder="1" applyAlignment="1">
      <alignment horizontal="right"/>
    </xf>
    <xf numFmtId="9" fontId="11" fillId="34" borderId="10" xfId="53" applyFont="1" applyFill="1" applyBorder="1" applyAlignment="1">
      <alignment horizontal="right"/>
    </xf>
    <xf numFmtId="0" fontId="11" fillId="34" borderId="10" xfId="53" applyNumberFormat="1" applyFont="1" applyFill="1" applyBorder="1" applyAlignment="1">
      <alignment horizontal="right"/>
    </xf>
    <xf numFmtId="167" fontId="11" fillId="34" borderId="10" xfId="66" applyFont="1" applyFill="1" applyBorder="1" applyAlignment="1">
      <alignment horizontal="right"/>
    </xf>
    <xf numFmtId="0" fontId="12" fillId="35" borderId="11" xfId="0" applyFont="1" applyFill="1" applyBorder="1" applyAlignment="1">
      <alignment/>
    </xf>
    <xf numFmtId="9" fontId="12" fillId="35" borderId="10" xfId="53" applyFont="1" applyFill="1" applyBorder="1" applyAlignment="1">
      <alignment horizontal="right"/>
    </xf>
    <xf numFmtId="0" fontId="12" fillId="35" borderId="12" xfId="0" applyFont="1" applyFill="1" applyBorder="1" applyAlignment="1">
      <alignment/>
    </xf>
    <xf numFmtId="9" fontId="12" fillId="35" borderId="18" xfId="53" applyFont="1" applyFill="1" applyBorder="1" applyAlignment="1">
      <alignment horizontal="right"/>
    </xf>
    <xf numFmtId="9" fontId="12" fillId="35" borderId="18" xfId="0" applyNumberFormat="1" applyFont="1" applyFill="1" applyBorder="1" applyAlignment="1">
      <alignment horizontal="right"/>
    </xf>
    <xf numFmtId="9" fontId="12" fillId="35" borderId="19" xfId="53" applyFont="1" applyFill="1" applyBorder="1" applyAlignment="1">
      <alignment horizontal="right"/>
    </xf>
    <xf numFmtId="0" fontId="11" fillId="0" borderId="20" xfId="0" applyFont="1" applyBorder="1" applyAlignment="1">
      <alignment/>
    </xf>
    <xf numFmtId="0" fontId="11" fillId="0" borderId="21" xfId="0" applyFont="1" applyBorder="1" applyAlignment="1">
      <alignment/>
    </xf>
    <xf numFmtId="0" fontId="11" fillId="0" borderId="22"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2" fillId="0" borderId="23" xfId="0" applyFont="1" applyBorder="1" applyAlignment="1">
      <alignment/>
    </xf>
    <xf numFmtId="0" fontId="12" fillId="0" borderId="24" xfId="0" applyFont="1" applyBorder="1" applyAlignment="1">
      <alignment/>
    </xf>
    <xf numFmtId="0" fontId="12" fillId="0" borderId="25" xfId="0" applyFont="1" applyBorder="1" applyAlignment="1">
      <alignment/>
    </xf>
    <xf numFmtId="0" fontId="12" fillId="33" borderId="38" xfId="0" applyFont="1" applyFill="1" applyBorder="1" applyAlignment="1">
      <alignment horizontal="center"/>
    </xf>
    <xf numFmtId="3" fontId="11" fillId="0" borderId="33" xfId="0" applyNumberFormat="1" applyFont="1" applyBorder="1" applyAlignment="1">
      <alignment horizontal="right"/>
    </xf>
    <xf numFmtId="165" fontId="12" fillId="35" borderId="33" xfId="0" applyNumberFormat="1" applyFont="1" applyFill="1" applyBorder="1" applyAlignment="1">
      <alignment horizontal="right"/>
    </xf>
    <xf numFmtId="0" fontId="11" fillId="0" borderId="11" xfId="0" applyFont="1" applyBorder="1" applyAlignment="1">
      <alignment horizontal="left" vertical="center" wrapText="1" indent="1"/>
    </xf>
    <xf numFmtId="3" fontId="11" fillId="0" borderId="10" xfId="0" applyNumberFormat="1" applyFont="1" applyBorder="1" applyAlignment="1">
      <alignment horizontal="right"/>
    </xf>
    <xf numFmtId="165" fontId="12" fillId="35" borderId="10" xfId="0" applyNumberFormat="1" applyFont="1" applyFill="1" applyBorder="1" applyAlignment="1">
      <alignment horizontal="right"/>
    </xf>
    <xf numFmtId="3" fontId="12" fillId="0" borderId="10" xfId="0" applyNumberFormat="1" applyFont="1" applyBorder="1" applyAlignment="1">
      <alignment horizontal="right"/>
    </xf>
    <xf numFmtId="3" fontId="11" fillId="0" borderId="10" xfId="0" applyNumberFormat="1" applyFont="1" applyFill="1" applyBorder="1" applyAlignment="1">
      <alignment horizontal="right"/>
    </xf>
    <xf numFmtId="3" fontId="12" fillId="35" borderId="10" xfId="0" applyNumberFormat="1" applyFont="1" applyFill="1" applyBorder="1" applyAlignment="1">
      <alignment horizontal="right"/>
    </xf>
    <xf numFmtId="165" fontId="12" fillId="0" borderId="43" xfId="66" applyNumberFormat="1" applyFont="1" applyBorder="1" applyAlignment="1">
      <alignment horizontal="right"/>
    </xf>
    <xf numFmtId="165" fontId="12" fillId="0" borderId="77" xfId="66" applyNumberFormat="1" applyFont="1" applyBorder="1" applyAlignment="1">
      <alignment horizontal="right"/>
    </xf>
    <xf numFmtId="3" fontId="11" fillId="0" borderId="43" xfId="0" applyNumberFormat="1" applyFont="1" applyBorder="1" applyAlignment="1">
      <alignment horizontal="right"/>
    </xf>
    <xf numFmtId="165" fontId="12" fillId="35" borderId="43" xfId="0" applyNumberFormat="1" applyFont="1" applyFill="1" applyBorder="1" applyAlignment="1">
      <alignment horizontal="right"/>
    </xf>
    <xf numFmtId="0" fontId="12" fillId="0" borderId="0" xfId="0" applyFont="1" applyAlignment="1">
      <alignment/>
    </xf>
    <xf numFmtId="168" fontId="12" fillId="35" borderId="40" xfId="66" applyNumberFormat="1" applyFont="1" applyFill="1" applyBorder="1" applyAlignment="1">
      <alignment horizontal="right"/>
    </xf>
    <xf numFmtId="9" fontId="12" fillId="35" borderId="67" xfId="53" applyFont="1" applyFill="1" applyBorder="1" applyAlignment="1">
      <alignment horizontal="right"/>
    </xf>
    <xf numFmtId="9" fontId="12" fillId="35" borderId="90" xfId="53" applyFont="1" applyFill="1" applyBorder="1" applyAlignment="1">
      <alignment horizontal="right"/>
    </xf>
    <xf numFmtId="0" fontId="114" fillId="0" borderId="10" xfId="0" applyFont="1" applyBorder="1" applyAlignment="1">
      <alignment vertical="center" wrapText="1"/>
    </xf>
    <xf numFmtId="0" fontId="10" fillId="0" borderId="10" xfId="0" applyFont="1" applyFill="1" applyBorder="1" applyAlignment="1">
      <alignment horizontal="right" vertical="top" wrapText="1"/>
    </xf>
    <xf numFmtId="3" fontId="10" fillId="0" borderId="17" xfId="0" applyNumberFormat="1" applyFont="1" applyFill="1" applyBorder="1" applyAlignment="1">
      <alignment/>
    </xf>
    <xf numFmtId="0" fontId="10" fillId="0" borderId="0" xfId="0" applyFont="1" applyFill="1" applyAlignment="1">
      <alignment vertical="top"/>
    </xf>
    <xf numFmtId="0" fontId="8" fillId="33" borderId="10" xfId="0" applyFont="1" applyFill="1" applyBorder="1" applyAlignment="1">
      <alignment vertical="center"/>
    </xf>
    <xf numFmtId="0" fontId="10" fillId="0" borderId="10" xfId="0" applyFont="1" applyFill="1" applyBorder="1" applyAlignment="1">
      <alignment vertical="center"/>
    </xf>
    <xf numFmtId="3" fontId="10" fillId="0" borderId="0" xfId="0" applyNumberFormat="1" applyFont="1" applyFill="1" applyAlignment="1">
      <alignment vertical="center"/>
    </xf>
    <xf numFmtId="0" fontId="10" fillId="0" borderId="0" xfId="0" applyFont="1" applyFill="1" applyAlignment="1">
      <alignment vertical="center" wrapText="1"/>
    </xf>
    <xf numFmtId="0" fontId="10" fillId="0" borderId="0" xfId="0" applyFont="1" applyFill="1" applyAlignment="1">
      <alignment horizontal="right" vertical="center" wrapText="1"/>
    </xf>
    <xf numFmtId="0" fontId="10" fillId="0" borderId="0" xfId="0" applyFont="1" applyFill="1" applyBorder="1" applyAlignment="1">
      <alignment vertical="center"/>
    </xf>
    <xf numFmtId="0" fontId="10" fillId="0" borderId="0" xfId="0" applyFont="1" applyFill="1" applyAlignment="1">
      <alignment vertical="center"/>
    </xf>
    <xf numFmtId="3" fontId="8" fillId="0" borderId="10" xfId="0" applyNumberFormat="1" applyFont="1" applyFill="1" applyBorder="1" applyAlignment="1">
      <alignment horizontal="center" vertical="center"/>
    </xf>
    <xf numFmtId="169" fontId="13" fillId="0" borderId="62" xfId="0" applyNumberFormat="1" applyFont="1" applyFill="1" applyBorder="1" applyAlignment="1">
      <alignment horizontal="center" vertical="center" wrapText="1"/>
    </xf>
    <xf numFmtId="169" fontId="116" fillId="0" borderId="62" xfId="0" applyNumberFormat="1" applyFont="1" applyFill="1" applyBorder="1" applyAlignment="1">
      <alignment horizontal="center" vertical="center" wrapText="1"/>
    </xf>
    <xf numFmtId="0" fontId="12" fillId="0" borderId="10" xfId="0" applyFont="1" applyFill="1" applyBorder="1" applyAlignment="1">
      <alignment vertical="center"/>
    </xf>
    <xf numFmtId="0" fontId="117" fillId="0" borderId="16" xfId="0" applyFont="1" applyBorder="1" applyAlignment="1">
      <alignment vertical="center" wrapText="1"/>
    </xf>
    <xf numFmtId="0" fontId="10" fillId="0" borderId="0" xfId="0" applyFont="1" applyAlignment="1">
      <alignment wrapText="1"/>
    </xf>
    <xf numFmtId="3" fontId="12" fillId="33" borderId="60" xfId="0" applyNumberFormat="1" applyFont="1" applyFill="1" applyBorder="1" applyAlignment="1">
      <alignment horizontal="center" vertical="center" wrapText="1"/>
    </xf>
    <xf numFmtId="169" fontId="12" fillId="0" borderId="58" xfId="0" applyNumberFormat="1" applyFont="1" applyFill="1" applyBorder="1" applyAlignment="1">
      <alignment horizontal="center" vertical="center" wrapText="1"/>
    </xf>
    <xf numFmtId="3" fontId="114" fillId="0" borderId="57" xfId="0" applyNumberFormat="1" applyFont="1" applyFill="1" applyBorder="1" applyAlignment="1">
      <alignment horizontal="center" vertical="center" wrapText="1"/>
    </xf>
    <xf numFmtId="3" fontId="114" fillId="0" borderId="62" xfId="0" applyNumberFormat="1" applyFont="1" applyFill="1" applyBorder="1" applyAlignment="1">
      <alignment horizontal="center" vertical="center" wrapText="1"/>
    </xf>
    <xf numFmtId="169" fontId="13" fillId="0" borderId="58" xfId="0" applyNumberFormat="1" applyFont="1" applyFill="1" applyBorder="1" applyAlignment="1">
      <alignment horizontal="center" vertical="center" wrapText="1"/>
    </xf>
    <xf numFmtId="185" fontId="8" fillId="33" borderId="10" xfId="53" applyNumberFormat="1" applyFont="1" applyFill="1" applyBorder="1" applyAlignment="1">
      <alignment horizontal="center" vertical="center"/>
    </xf>
    <xf numFmtId="17" fontId="10" fillId="0" borderId="124" xfId="0" applyNumberFormat="1" applyFont="1" applyBorder="1" applyAlignment="1">
      <alignment horizontal="center" vertical="top" wrapText="1" shrinkToFit="1"/>
    </xf>
    <xf numFmtId="0" fontId="27" fillId="45" borderId="11" xfId="0" applyFont="1" applyFill="1" applyBorder="1" applyAlignment="1">
      <alignment horizontal="center" vertical="top"/>
    </xf>
    <xf numFmtId="0" fontId="10" fillId="45" borderId="0" xfId="0" applyFont="1" applyFill="1" applyAlignment="1">
      <alignment/>
    </xf>
    <xf numFmtId="3" fontId="116" fillId="33" borderId="57" xfId="0" applyNumberFormat="1" applyFont="1" applyFill="1" applyBorder="1" applyAlignment="1">
      <alignment horizontal="center" vertical="center" wrapText="1"/>
    </xf>
    <xf numFmtId="0" fontId="27" fillId="40" borderId="11" xfId="0" applyFont="1" applyFill="1" applyBorder="1" applyAlignment="1">
      <alignment horizontal="center" vertical="top" wrapText="1"/>
    </xf>
    <xf numFmtId="0" fontId="11" fillId="0" borderId="11" xfId="0" applyFont="1" applyBorder="1" applyAlignment="1" applyProtection="1">
      <alignment horizontal="left" vertical="top" wrapText="1"/>
      <protection locked="0"/>
    </xf>
    <xf numFmtId="0" fontId="11" fillId="0" borderId="10" xfId="0" applyFont="1" applyBorder="1" applyAlignment="1" applyProtection="1">
      <alignment horizontal="center" vertical="top" wrapText="1"/>
      <protection locked="0"/>
    </xf>
    <xf numFmtId="0" fontId="11" fillId="0" borderId="17" xfId="0" applyFont="1" applyBorder="1" applyAlignment="1" applyProtection="1">
      <alignment horizontal="left" vertical="top" wrapText="1"/>
      <protection locked="0"/>
    </xf>
    <xf numFmtId="0" fontId="118" fillId="0" borderId="10" xfId="0" applyFont="1" applyBorder="1" applyAlignment="1">
      <alignment vertical="center" wrapText="1"/>
    </xf>
    <xf numFmtId="0" fontId="119" fillId="0" borderId="10" xfId="0" applyFont="1" applyBorder="1" applyAlignment="1">
      <alignment horizontal="center" vertical="center" wrapText="1"/>
    </xf>
    <xf numFmtId="0" fontId="119" fillId="0" borderId="10" xfId="0" applyFont="1" applyBorder="1" applyAlignment="1">
      <alignment vertical="center" wrapText="1"/>
    </xf>
    <xf numFmtId="9" fontId="119" fillId="0" borderId="10" xfId="0" applyNumberFormat="1" applyFont="1" applyBorder="1" applyAlignment="1">
      <alignment horizontal="center" vertical="center" wrapText="1"/>
    </xf>
    <xf numFmtId="0" fontId="120" fillId="0" borderId="10" xfId="0" applyFont="1" applyBorder="1" applyAlignment="1">
      <alignment horizontal="center" vertical="center" wrapText="1"/>
    </xf>
    <xf numFmtId="0" fontId="114" fillId="0" borderId="10" xfId="0" applyFont="1" applyBorder="1" applyAlignment="1">
      <alignment vertical="center" wrapText="1"/>
    </xf>
    <xf numFmtId="0" fontId="10" fillId="0" borderId="10" xfId="0" applyFont="1" applyFill="1" applyBorder="1" applyAlignment="1">
      <alignment horizontal="left"/>
    </xf>
    <xf numFmtId="0" fontId="10" fillId="0" borderId="10" xfId="0" applyFont="1" applyFill="1" applyBorder="1" applyAlignment="1">
      <alignment/>
    </xf>
    <xf numFmtId="0" fontId="10" fillId="0" borderId="10" xfId="0" applyFont="1" applyFill="1" applyBorder="1" applyAlignment="1">
      <alignment/>
    </xf>
    <xf numFmtId="15" fontId="10" fillId="0" borderId="124" xfId="0" applyNumberFormat="1" applyFont="1" applyBorder="1" applyAlignment="1">
      <alignment horizontal="center" vertical="top" wrapText="1" shrinkToFit="1"/>
    </xf>
    <xf numFmtId="0" fontId="27" fillId="41" borderId="43" xfId="0" applyFont="1" applyFill="1" applyBorder="1" applyAlignment="1" applyProtection="1">
      <alignment horizontal="left" vertical="top" wrapText="1"/>
      <protection locked="0"/>
    </xf>
    <xf numFmtId="0" fontId="27" fillId="41" borderId="96" xfId="0" applyFont="1" applyFill="1" applyBorder="1" applyAlignment="1" applyProtection="1">
      <alignment horizontal="left" vertical="top" wrapText="1"/>
      <protection locked="0"/>
    </xf>
    <xf numFmtId="0" fontId="27" fillId="41" borderId="33" xfId="0" applyFont="1" applyFill="1" applyBorder="1" applyAlignment="1" applyProtection="1">
      <alignment horizontal="left" vertical="top" wrapText="1"/>
      <protection locked="0"/>
    </xf>
    <xf numFmtId="0" fontId="112" fillId="0" borderId="43" xfId="0" applyFont="1" applyBorder="1" applyAlignment="1" applyProtection="1">
      <alignment horizontal="left" vertical="top" wrapText="1"/>
      <protection locked="0"/>
    </xf>
    <xf numFmtId="0" fontId="10" fillId="41" borderId="43" xfId="0" applyFont="1" applyFill="1" applyBorder="1" applyAlignment="1" applyProtection="1">
      <alignment horizontal="left" vertical="top" wrapText="1"/>
      <protection locked="0"/>
    </xf>
    <xf numFmtId="0" fontId="10" fillId="41" borderId="10" xfId="0" applyFont="1" applyFill="1" applyBorder="1" applyAlignment="1">
      <alignment horizontal="center" vertical="top" wrapText="1"/>
    </xf>
    <xf numFmtId="0" fontId="10" fillId="41" borderId="124" xfId="0" applyFont="1" applyFill="1" applyBorder="1" applyAlignment="1">
      <alignment horizontal="justify" vertical="top" wrapText="1" shrinkToFit="1"/>
    </xf>
    <xf numFmtId="0" fontId="10" fillId="41" borderId="124" xfId="0" applyFont="1" applyFill="1" applyBorder="1" applyAlignment="1">
      <alignment vertical="top" wrapText="1" shrinkToFit="1"/>
    </xf>
    <xf numFmtId="15" fontId="10" fillId="41" borderId="124" xfId="0" applyNumberFormat="1" applyFont="1" applyFill="1" applyBorder="1" applyAlignment="1">
      <alignment horizontal="center" vertical="top" wrapText="1" shrinkToFit="1"/>
    </xf>
    <xf numFmtId="14" fontId="10" fillId="41" borderId="124" xfId="0" applyNumberFormat="1" applyFont="1" applyFill="1" applyBorder="1" applyAlignment="1">
      <alignment horizontal="center" vertical="top" wrapText="1" shrinkToFit="1"/>
    </xf>
    <xf numFmtId="0" fontId="10" fillId="0" borderId="11" xfId="0" applyFont="1" applyBorder="1" applyAlignment="1" applyProtection="1">
      <alignment horizontal="left" vertical="top" wrapText="1"/>
      <protection locked="0"/>
    </xf>
    <xf numFmtId="15" fontId="10" fillId="0" borderId="17" xfId="0" applyNumberFormat="1" applyFont="1" applyBorder="1" applyAlignment="1" applyProtection="1">
      <alignment horizontal="left" vertical="top" wrapText="1"/>
      <protection locked="0"/>
    </xf>
    <xf numFmtId="0" fontId="116" fillId="0" borderId="10" xfId="0" applyFont="1" applyFill="1" applyBorder="1" applyAlignment="1">
      <alignment vertical="center" wrapText="1"/>
    </xf>
    <xf numFmtId="0" fontId="10" fillId="41" borderId="10" xfId="0" applyFont="1" applyFill="1" applyBorder="1" applyAlignment="1">
      <alignment horizontal="left" vertical="top" wrapText="1" shrinkToFit="1"/>
    </xf>
    <xf numFmtId="14" fontId="10" fillId="41" borderId="10" xfId="0" applyNumberFormat="1" applyFont="1" applyFill="1" applyBorder="1" applyAlignment="1">
      <alignment horizontal="left" vertical="top" wrapText="1" shrinkToFit="1"/>
    </xf>
    <xf numFmtId="14" fontId="10" fillId="41" borderId="17" xfId="0" applyNumberFormat="1" applyFont="1" applyFill="1" applyBorder="1" applyAlignment="1">
      <alignment horizontal="left" vertical="top" wrapText="1" shrinkToFit="1"/>
    </xf>
    <xf numFmtId="0" fontId="10" fillId="41" borderId="10" xfId="0" applyFont="1" applyFill="1" applyBorder="1" applyAlignment="1">
      <alignment horizontal="center"/>
    </xf>
    <xf numFmtId="0" fontId="10" fillId="41" borderId="10" xfId="0" applyFont="1" applyFill="1" applyBorder="1" applyAlignment="1">
      <alignment/>
    </xf>
    <xf numFmtId="0" fontId="10" fillId="41" borderId="17" xfId="0" applyFont="1" applyFill="1" applyBorder="1" applyAlignment="1">
      <alignment/>
    </xf>
    <xf numFmtId="0" fontId="10" fillId="0" borderId="10" xfId="0" applyFont="1" applyFill="1" applyBorder="1" applyAlignment="1">
      <alignment horizontal="center" vertical="top" wrapText="1"/>
    </xf>
    <xf numFmtId="0" fontId="10" fillId="0" borderId="10" xfId="0" applyFont="1" applyFill="1" applyBorder="1" applyAlignment="1">
      <alignment horizontal="center"/>
    </xf>
    <xf numFmtId="0" fontId="10" fillId="0" borderId="17" xfId="0" applyFont="1" applyFill="1" applyBorder="1" applyAlignment="1">
      <alignment/>
    </xf>
    <xf numFmtId="17" fontId="10" fillId="0" borderId="10" xfId="0" applyNumberFormat="1" applyFont="1" applyBorder="1" applyAlignment="1">
      <alignment horizontal="left" vertical="top" wrapText="1" shrinkToFit="1"/>
    </xf>
    <xf numFmtId="0" fontId="12" fillId="41" borderId="10" xfId="0" applyFont="1" applyFill="1" applyBorder="1" applyAlignment="1">
      <alignment horizontal="justify" vertical="center" wrapText="1"/>
    </xf>
    <xf numFmtId="3" fontId="11" fillId="41" borderId="60" xfId="0" applyNumberFormat="1" applyFont="1" applyFill="1" applyBorder="1" applyAlignment="1">
      <alignment horizontal="center" vertical="center" wrapText="1"/>
    </xf>
    <xf numFmtId="3" fontId="12" fillId="41" borderId="58" xfId="0" applyNumberFormat="1" applyFont="1" applyFill="1" applyBorder="1" applyAlignment="1">
      <alignment horizontal="center" vertical="center"/>
    </xf>
    <xf numFmtId="0" fontId="11" fillId="41" borderId="61" xfId="0" applyFont="1" applyFill="1" applyBorder="1" applyAlignment="1">
      <alignment horizontal="center" vertical="center" wrapText="1"/>
    </xf>
    <xf numFmtId="3" fontId="12" fillId="41" borderId="60" xfId="0" applyNumberFormat="1" applyFont="1" applyFill="1" applyBorder="1" applyAlignment="1">
      <alignment horizontal="center" vertical="center" wrapText="1"/>
    </xf>
    <xf numFmtId="3" fontId="12" fillId="41" borderId="10" xfId="0" applyNumberFormat="1" applyFont="1" applyFill="1" applyBorder="1" applyAlignment="1">
      <alignment horizontal="center" vertical="center" wrapText="1"/>
    </xf>
    <xf numFmtId="0" fontId="12" fillId="41" borderId="10" xfId="0" applyFont="1" applyFill="1" applyBorder="1" applyAlignment="1">
      <alignment vertical="center"/>
    </xf>
    <xf numFmtId="0" fontId="11" fillId="41" borderId="60" xfId="0" applyFont="1" applyFill="1" applyBorder="1" applyAlignment="1">
      <alignment horizontal="justify" vertical="center" wrapText="1"/>
    </xf>
    <xf numFmtId="9" fontId="11" fillId="41" borderId="62" xfId="53" applyFont="1" applyFill="1" applyBorder="1" applyAlignment="1">
      <alignment horizontal="center" vertical="center" wrapText="1"/>
    </xf>
    <xf numFmtId="3" fontId="11" fillId="41" borderId="62" xfId="0" applyNumberFormat="1" applyFont="1" applyFill="1" applyBorder="1" applyAlignment="1">
      <alignment horizontal="center" vertical="center" wrapText="1"/>
    </xf>
    <xf numFmtId="1" fontId="12" fillId="41" borderId="81" xfId="0" applyNumberFormat="1" applyFont="1" applyFill="1" applyBorder="1" applyAlignment="1">
      <alignment horizontal="center" vertical="center" wrapText="1"/>
    </xf>
    <xf numFmtId="0" fontId="11" fillId="41" borderId="60" xfId="0" applyFont="1" applyFill="1" applyBorder="1" applyAlignment="1">
      <alignment horizontal="left" vertical="center" wrapText="1"/>
    </xf>
    <xf numFmtId="175" fontId="11" fillId="41" borderId="62" xfId="0" applyNumberFormat="1" applyFont="1" applyFill="1" applyBorder="1" applyAlignment="1">
      <alignment horizontal="right"/>
    </xf>
    <xf numFmtId="175" fontId="12" fillId="41" borderId="62" xfId="0" applyNumberFormat="1" applyFont="1" applyFill="1" applyBorder="1" applyAlignment="1">
      <alignment horizontal="right"/>
    </xf>
    <xf numFmtId="3" fontId="12" fillId="41" borderId="62" xfId="0" applyNumberFormat="1" applyFont="1" applyFill="1" applyBorder="1" applyAlignment="1">
      <alignment horizontal="right"/>
    </xf>
    <xf numFmtId="175" fontId="30" fillId="41" borderId="62" xfId="0" applyNumberFormat="1" applyFont="1" applyFill="1" applyBorder="1" applyAlignment="1">
      <alignment horizontal="right"/>
    </xf>
    <xf numFmtId="9" fontId="11" fillId="41" borderId="69" xfId="53" applyNumberFormat="1" applyFont="1" applyFill="1" applyBorder="1" applyAlignment="1">
      <alignment horizontal="right"/>
    </xf>
    <xf numFmtId="9" fontId="12" fillId="41" borderId="61" xfId="53" applyFont="1" applyFill="1" applyBorder="1" applyAlignment="1">
      <alignment horizontal="right"/>
    </xf>
    <xf numFmtId="3" fontId="12" fillId="41" borderId="82" xfId="0" applyNumberFormat="1" applyFont="1" applyFill="1" applyBorder="1" applyAlignment="1">
      <alignment horizontal="right"/>
    </xf>
    <xf numFmtId="1" fontId="12" fillId="41" borderId="81" xfId="0" applyNumberFormat="1" applyFont="1" applyFill="1" applyBorder="1" applyAlignment="1">
      <alignment horizontal="center" vertical="center" wrapText="1"/>
    </xf>
    <xf numFmtId="0" fontId="27" fillId="0" borderId="10" xfId="0" applyFont="1" applyBorder="1" applyAlignment="1" applyProtection="1">
      <alignment horizontal="left" vertical="top" wrapText="1"/>
      <protection locked="0"/>
    </xf>
    <xf numFmtId="0" fontId="10" fillId="41" borderId="10" xfId="0" applyFont="1" applyFill="1" applyBorder="1" applyAlignment="1" applyProtection="1">
      <alignment horizontal="justify" vertical="top" wrapText="1"/>
      <protection locked="0"/>
    </xf>
    <xf numFmtId="17" fontId="10" fillId="41" borderId="10" xfId="0" applyNumberFormat="1" applyFont="1" applyFill="1" applyBorder="1" applyAlignment="1">
      <alignment horizontal="left" vertical="top" wrapText="1" shrinkToFit="1"/>
    </xf>
    <xf numFmtId="15" fontId="10" fillId="41" borderId="17" xfId="0" applyNumberFormat="1" applyFont="1" applyFill="1" applyBorder="1" applyAlignment="1">
      <alignment horizontal="left" vertical="top" wrapText="1" shrinkToFit="1"/>
    </xf>
    <xf numFmtId="0" fontId="112" fillId="0" borderId="10" xfId="0" applyFont="1" applyBorder="1" applyAlignment="1" applyProtection="1">
      <alignment horizontal="justify" vertical="top" wrapText="1"/>
      <protection locked="0"/>
    </xf>
    <xf numFmtId="3" fontId="114" fillId="33" borderId="57" xfId="0" applyNumberFormat="1" applyFont="1" applyFill="1" applyBorder="1" applyAlignment="1">
      <alignment horizontal="center" vertical="center" wrapText="1"/>
    </xf>
    <xf numFmtId="3" fontId="116" fillId="33" borderId="58" xfId="0" applyNumberFormat="1" applyFont="1" applyFill="1" applyBorder="1" applyAlignment="1">
      <alignment horizontal="center" vertical="center"/>
    </xf>
    <xf numFmtId="0" fontId="10" fillId="41" borderId="10" xfId="0" applyFont="1" applyFill="1" applyBorder="1" applyAlignment="1">
      <alignment vertical="top"/>
    </xf>
    <xf numFmtId="0" fontId="11" fillId="41" borderId="62" xfId="0" applyFont="1" applyFill="1" applyBorder="1" applyAlignment="1">
      <alignment horizontal="left" vertical="center" wrapText="1"/>
    </xf>
    <xf numFmtId="175" fontId="116" fillId="41" borderId="62" xfId="0" applyNumberFormat="1" applyFont="1" applyFill="1" applyBorder="1" applyAlignment="1">
      <alignment horizontal="right"/>
    </xf>
    <xf numFmtId="0" fontId="10" fillId="41" borderId="17" xfId="0" applyFont="1" applyFill="1" applyBorder="1" applyAlignment="1">
      <alignment horizontal="left" vertical="top" wrapText="1" shrinkToFit="1"/>
    </xf>
    <xf numFmtId="0" fontId="10" fillId="41" borderId="10" xfId="0" applyFont="1" applyFill="1" applyBorder="1" applyAlignment="1">
      <alignment horizontal="left" vertical="top" wrapText="1"/>
    </xf>
    <xf numFmtId="0" fontId="105" fillId="41" borderId="10" xfId="0" applyFont="1" applyFill="1" applyBorder="1" applyAlignment="1" applyProtection="1">
      <alignment horizontal="left" vertical="top" wrapText="1"/>
      <protection locked="0"/>
    </xf>
    <xf numFmtId="0" fontId="10" fillId="41" borderId="18" xfId="0" applyFont="1" applyFill="1" applyBorder="1" applyAlignment="1">
      <alignment horizontal="center" vertical="top" wrapText="1"/>
    </xf>
    <xf numFmtId="0" fontId="10" fillId="41" borderId="18" xfId="0" applyFont="1" applyFill="1" applyBorder="1" applyAlignment="1" applyProtection="1">
      <alignment horizontal="center" vertical="top" wrapText="1"/>
      <protection locked="0"/>
    </xf>
    <xf numFmtId="0" fontId="10" fillId="41" borderId="10" xfId="0" applyFont="1" applyFill="1" applyBorder="1" applyAlignment="1">
      <alignment horizontal="center" vertical="top" wrapText="1" shrinkToFit="1"/>
    </xf>
    <xf numFmtId="0" fontId="10" fillId="41" borderId="17" xfId="0" applyFont="1" applyFill="1" applyBorder="1" applyAlignment="1">
      <alignment horizontal="center" vertical="top" wrapText="1" shrinkToFit="1"/>
    </xf>
    <xf numFmtId="0" fontId="10" fillId="41" borderId="10" xfId="0" applyFont="1" applyFill="1" applyBorder="1" applyAlignment="1">
      <alignment vertical="top" wrapText="1" shrinkToFit="1"/>
    </xf>
    <xf numFmtId="0" fontId="10" fillId="41" borderId="17" xfId="0" applyFont="1" applyFill="1" applyBorder="1" applyAlignment="1">
      <alignment vertical="top" wrapText="1" shrinkToFit="1"/>
    </xf>
    <xf numFmtId="3" fontId="11" fillId="41" borderId="63" xfId="0" applyNumberFormat="1" applyFont="1" applyFill="1" applyBorder="1" applyAlignment="1">
      <alignment horizontal="center" vertical="center" wrapText="1"/>
    </xf>
    <xf numFmtId="0" fontId="11" fillId="41" borderId="64" xfId="0" applyFont="1" applyFill="1" applyBorder="1" applyAlignment="1">
      <alignment horizontal="center" vertical="center" wrapText="1"/>
    </xf>
    <xf numFmtId="3" fontId="12" fillId="41" borderId="63" xfId="0" applyNumberFormat="1" applyFont="1" applyFill="1" applyBorder="1" applyAlignment="1">
      <alignment horizontal="center" vertical="center" wrapText="1"/>
    </xf>
    <xf numFmtId="9" fontId="11" fillId="41" borderId="65" xfId="53" applyFont="1" applyFill="1" applyBorder="1" applyAlignment="1">
      <alignment horizontal="center" vertical="center" wrapText="1"/>
    </xf>
    <xf numFmtId="9" fontId="12" fillId="41" borderId="65" xfId="53" applyFont="1" applyFill="1" applyBorder="1" applyAlignment="1">
      <alignment horizontal="center" vertical="center" wrapText="1"/>
    </xf>
    <xf numFmtId="3" fontId="12" fillId="41" borderId="65" xfId="0" applyNumberFormat="1" applyFont="1" applyFill="1" applyBorder="1" applyAlignment="1">
      <alignment horizontal="center" vertical="center" wrapText="1"/>
    </xf>
    <xf numFmtId="3" fontId="13" fillId="41" borderId="65" xfId="0" applyNumberFormat="1" applyFont="1" applyFill="1" applyBorder="1" applyAlignment="1">
      <alignment horizontal="center" vertical="center" wrapText="1"/>
    </xf>
    <xf numFmtId="9" fontId="30" fillId="41" borderId="65" xfId="53" applyFont="1" applyFill="1" applyBorder="1" applyAlignment="1">
      <alignment horizontal="center" vertical="center" wrapText="1"/>
    </xf>
    <xf numFmtId="3" fontId="13" fillId="41" borderId="10" xfId="0" applyNumberFormat="1" applyFont="1" applyFill="1" applyBorder="1" applyAlignment="1">
      <alignment horizontal="center" vertical="center" wrapText="1"/>
    </xf>
    <xf numFmtId="0" fontId="13" fillId="41" borderId="10" xfId="0" applyFont="1" applyFill="1" applyBorder="1" applyAlignment="1">
      <alignment vertical="center"/>
    </xf>
    <xf numFmtId="0" fontId="27" fillId="41" borderId="11" xfId="0" applyFont="1" applyFill="1" applyBorder="1" applyAlignment="1">
      <alignment horizontal="center" vertical="top"/>
    </xf>
    <xf numFmtId="0" fontId="12" fillId="41" borderId="58" xfId="0" applyFont="1" applyFill="1" applyBorder="1" applyAlignment="1">
      <alignment horizontal="left" vertical="center" wrapText="1"/>
    </xf>
    <xf numFmtId="0" fontId="11" fillId="41" borderId="10" xfId="0" applyFont="1" applyFill="1" applyBorder="1" applyAlignment="1">
      <alignment horizontal="left" vertical="center" wrapText="1" indent="1"/>
    </xf>
    <xf numFmtId="0" fontId="10" fillId="41" borderId="18" xfId="0" applyFont="1" applyFill="1" applyBorder="1" applyAlignment="1">
      <alignment vertical="top" wrapText="1" shrinkToFit="1"/>
    </xf>
    <xf numFmtId="15" fontId="10" fillId="41" borderId="19" xfId="0" applyNumberFormat="1" applyFont="1" applyFill="1" applyBorder="1" applyAlignment="1">
      <alignment vertical="top" wrapText="1" shrinkToFit="1"/>
    </xf>
    <xf numFmtId="15" fontId="10" fillId="41" borderId="17" xfId="0" applyNumberFormat="1" applyFont="1" applyFill="1" applyBorder="1" applyAlignment="1">
      <alignment vertical="top" wrapText="1" shrinkToFit="1"/>
    </xf>
    <xf numFmtId="0" fontId="10" fillId="41" borderId="13" xfId="0" applyFont="1" applyFill="1" applyBorder="1" applyAlignment="1">
      <alignment horizontal="center" vertical="top" wrapText="1"/>
    </xf>
    <xf numFmtId="0" fontId="10" fillId="41" borderId="13" xfId="0" applyFont="1" applyFill="1" applyBorder="1" applyAlignment="1">
      <alignment vertical="top" wrapText="1" shrinkToFit="1"/>
    </xf>
    <xf numFmtId="17" fontId="10" fillId="41" borderId="13" xfId="0" applyNumberFormat="1" applyFont="1" applyFill="1" applyBorder="1" applyAlignment="1">
      <alignment horizontal="center" vertical="top" wrapText="1" shrinkToFit="1"/>
    </xf>
    <xf numFmtId="15" fontId="10" fillId="41" borderId="13" xfId="0" applyNumberFormat="1" applyFont="1" applyFill="1" applyBorder="1" applyAlignment="1">
      <alignment vertical="top" wrapText="1" shrinkToFit="1"/>
    </xf>
    <xf numFmtId="0" fontId="10" fillId="41" borderId="19" xfId="0" applyFont="1" applyFill="1" applyBorder="1" applyAlignment="1">
      <alignment vertical="top" wrapText="1" shrinkToFit="1"/>
    </xf>
    <xf numFmtId="169" fontId="12" fillId="0" borderId="18" xfId="0" applyNumberFormat="1" applyFont="1" applyFill="1" applyBorder="1" applyAlignment="1">
      <alignment horizontal="center" vertical="center" wrapText="1"/>
    </xf>
    <xf numFmtId="169" fontId="12" fillId="0" borderId="60" xfId="0" applyNumberFormat="1" applyFont="1" applyFill="1" applyBorder="1" applyAlignment="1">
      <alignment horizontal="center" vertical="center" wrapText="1"/>
    </xf>
    <xf numFmtId="169" fontId="12" fillId="0" borderId="62" xfId="0" applyNumberFormat="1" applyFont="1" applyFill="1" applyBorder="1" applyAlignment="1">
      <alignment horizontal="center" vertical="center" wrapText="1"/>
    </xf>
    <xf numFmtId="169" fontId="12" fillId="0" borderId="63" xfId="0" applyNumberFormat="1" applyFont="1" applyFill="1" applyBorder="1" applyAlignment="1">
      <alignment horizontal="center" vertical="center" wrapText="1"/>
    </xf>
    <xf numFmtId="169" fontId="116" fillId="0" borderId="10" xfId="0" applyNumberFormat="1" applyFont="1" applyFill="1" applyBorder="1" applyAlignment="1">
      <alignment horizontal="center" vertical="center" wrapText="1"/>
    </xf>
    <xf numFmtId="169" fontId="116" fillId="0" borderId="60" xfId="0" applyNumberFormat="1" applyFont="1" applyFill="1" applyBorder="1" applyAlignment="1">
      <alignment horizontal="center" vertical="center" wrapText="1"/>
    </xf>
    <xf numFmtId="169" fontId="11" fillId="0" borderId="60" xfId="0" applyNumberFormat="1" applyFont="1" applyFill="1" applyBorder="1" applyAlignment="1">
      <alignment horizontal="center" vertical="center" wrapText="1"/>
    </xf>
    <xf numFmtId="169" fontId="11" fillId="0" borderId="62" xfId="0" applyNumberFormat="1" applyFont="1" applyFill="1" applyBorder="1" applyAlignment="1">
      <alignment horizontal="center" vertical="center" wrapText="1"/>
    </xf>
    <xf numFmtId="3" fontId="11" fillId="0" borderId="62" xfId="0" applyNumberFormat="1" applyFont="1" applyFill="1" applyBorder="1" applyAlignment="1">
      <alignment horizontal="center" vertical="center" wrapText="1"/>
    </xf>
    <xf numFmtId="169" fontId="116" fillId="0" borderId="91" xfId="0" applyNumberFormat="1" applyFont="1" applyFill="1" applyBorder="1" applyAlignment="1">
      <alignment horizontal="center" vertical="center" wrapText="1"/>
    </xf>
    <xf numFmtId="175" fontId="116" fillId="0" borderId="65" xfId="0" applyNumberFormat="1" applyFont="1" applyFill="1" applyBorder="1" applyAlignment="1">
      <alignment horizontal="right"/>
    </xf>
    <xf numFmtId="168" fontId="10" fillId="0" borderId="10" xfId="66" applyNumberFormat="1" applyFont="1" applyFill="1" applyBorder="1" applyAlignment="1">
      <alignment horizontal="center" vertical="top"/>
    </xf>
    <xf numFmtId="168" fontId="10" fillId="0" borderId="10" xfId="66" applyNumberFormat="1" applyFont="1" applyFill="1" applyBorder="1" applyAlignment="1">
      <alignment horizontal="center" vertical="top" wrapText="1"/>
    </xf>
    <xf numFmtId="0" fontId="10" fillId="0" borderId="40" xfId="0" applyFont="1" applyBorder="1" applyAlignment="1">
      <alignment horizontal="left" vertical="top" wrapText="1"/>
    </xf>
    <xf numFmtId="0" fontId="29" fillId="42" borderId="10" xfId="0" applyFont="1" applyFill="1" applyBorder="1" applyAlignment="1">
      <alignment horizontal="center" vertical="top" wrapText="1"/>
    </xf>
    <xf numFmtId="0" fontId="0" fillId="34" borderId="10" xfId="0" applyFont="1" applyFill="1" applyBorder="1" applyAlignment="1" applyProtection="1">
      <alignment horizontal="justify" vertical="center" wrapText="1"/>
      <protection locked="0"/>
    </xf>
    <xf numFmtId="0" fontId="0" fillId="34" borderId="33" xfId="0" applyFont="1" applyFill="1" applyBorder="1" applyAlignment="1" applyProtection="1">
      <alignment horizontal="justify" vertical="top"/>
      <protection locked="0"/>
    </xf>
    <xf numFmtId="0" fontId="0" fillId="41" borderId="33" xfId="0" applyFill="1" applyBorder="1" applyAlignment="1" applyProtection="1">
      <alignment horizontal="center" vertical="top"/>
      <protection locked="0"/>
    </xf>
    <xf numFmtId="17" fontId="0" fillId="34" borderId="33" xfId="0" applyNumberFormat="1" applyFill="1" applyBorder="1" applyAlignment="1" applyProtection="1">
      <alignment horizontal="center" vertical="center"/>
      <protection locked="0"/>
    </xf>
    <xf numFmtId="17" fontId="0" fillId="41" borderId="33" xfId="0" applyNumberFormat="1" applyFill="1" applyBorder="1" applyAlignment="1" applyProtection="1">
      <alignment horizontal="center" vertical="center"/>
      <protection locked="0"/>
    </xf>
    <xf numFmtId="0" fontId="0" fillId="0" borderId="33" xfId="0" applyFont="1" applyBorder="1" applyAlignment="1" applyProtection="1">
      <alignment vertical="distributed"/>
      <protection locked="0"/>
    </xf>
    <xf numFmtId="0" fontId="0" fillId="34" borderId="10" xfId="0" applyFont="1" applyFill="1" applyBorder="1" applyAlignment="1" applyProtection="1">
      <alignment horizontal="justify" vertical="top" wrapText="1"/>
      <protection locked="0"/>
    </xf>
    <xf numFmtId="167" fontId="0" fillId="41" borderId="10" xfId="66" applyFont="1" applyFill="1" applyBorder="1" applyAlignment="1" applyProtection="1">
      <alignment horizontal="center" vertical="top"/>
      <protection locked="0"/>
    </xf>
    <xf numFmtId="17" fontId="0" fillId="34" borderId="10" xfId="0" applyNumberFormat="1" applyFill="1" applyBorder="1" applyAlignment="1" applyProtection="1">
      <alignment horizontal="center" vertical="center"/>
      <protection locked="0"/>
    </xf>
    <xf numFmtId="17" fontId="0" fillId="41" borderId="10" xfId="0" applyNumberFormat="1" applyFill="1" applyBorder="1" applyAlignment="1" applyProtection="1">
      <alignment horizontal="center" vertical="center"/>
      <protection locked="0"/>
    </xf>
    <xf numFmtId="0" fontId="0" fillId="34" borderId="10" xfId="0" applyFont="1" applyFill="1" applyBorder="1" applyAlignment="1" applyProtection="1">
      <alignment horizontal="justify" vertical="top"/>
      <protection locked="0"/>
    </xf>
    <xf numFmtId="0" fontId="0" fillId="0" borderId="33" xfId="0" applyBorder="1" applyAlignment="1" applyProtection="1">
      <alignment vertical="distributed"/>
      <protection locked="0"/>
    </xf>
    <xf numFmtId="17" fontId="0" fillId="34" borderId="75" xfId="0" applyNumberFormat="1" applyFill="1" applyBorder="1" applyAlignment="1" applyProtection="1">
      <alignment horizontal="center" vertical="center"/>
      <protection locked="0"/>
    </xf>
    <xf numFmtId="0" fontId="0" fillId="41" borderId="33" xfId="0" applyFill="1" applyBorder="1" applyAlignment="1" applyProtection="1">
      <alignment horizontal="justify" vertical="top"/>
      <protection locked="0"/>
    </xf>
    <xf numFmtId="15" fontId="0" fillId="34" borderId="0" xfId="0" applyNumberFormat="1" applyFont="1" applyFill="1" applyBorder="1" applyAlignment="1" applyProtection="1">
      <alignment vertical="center" wrapText="1"/>
      <protection locked="0"/>
    </xf>
    <xf numFmtId="15" fontId="0" fillId="34" borderId="10" xfId="0" applyNumberFormat="1" applyFont="1" applyFill="1" applyBorder="1" applyAlignment="1" applyProtection="1">
      <alignment vertical="center" wrapText="1"/>
      <protection locked="0"/>
    </xf>
    <xf numFmtId="0" fontId="0" fillId="41" borderId="10" xfId="0" applyFill="1" applyBorder="1" applyAlignment="1" applyProtection="1">
      <alignment horizontal="justify" vertical="top"/>
      <protection locked="0"/>
    </xf>
    <xf numFmtId="0" fontId="0" fillId="34" borderId="0" xfId="0" applyFont="1" applyFill="1" applyBorder="1" applyAlignment="1" applyProtection="1">
      <alignment wrapText="1"/>
      <protection locked="0"/>
    </xf>
    <xf numFmtId="0" fontId="0" fillId="41" borderId="10" xfId="0" applyFont="1" applyFill="1" applyBorder="1" applyAlignment="1" applyProtection="1">
      <alignment horizontal="justify" vertical="top"/>
      <protection locked="0"/>
    </xf>
    <xf numFmtId="0" fontId="0" fillId="34" borderId="10" xfId="0" applyFill="1" applyBorder="1" applyAlignment="1" applyProtection="1">
      <alignment horizontal="center" vertical="center"/>
      <protection locked="0"/>
    </xf>
    <xf numFmtId="0" fontId="0" fillId="34" borderId="10" xfId="0" applyFill="1" applyBorder="1" applyAlignment="1" applyProtection="1">
      <alignment horizontal="justify" vertical="top"/>
      <protection locked="0"/>
    </xf>
    <xf numFmtId="0" fontId="0" fillId="41" borderId="10" xfId="0" applyFill="1" applyBorder="1" applyAlignment="1" applyProtection="1">
      <alignment horizontal="center" vertical="center"/>
      <protection locked="0"/>
    </xf>
    <xf numFmtId="0" fontId="10" fillId="41" borderId="10" xfId="0" applyFont="1" applyFill="1" applyBorder="1" applyAlignment="1">
      <alignment vertical="top" wrapText="1"/>
    </xf>
    <xf numFmtId="0" fontId="10" fillId="41" borderId="10" xfId="0" applyFont="1" applyFill="1" applyBorder="1" applyAlignment="1">
      <alignment/>
    </xf>
    <xf numFmtId="0" fontId="18" fillId="43" borderId="40" xfId="0" applyFont="1" applyFill="1" applyBorder="1" applyAlignment="1" applyProtection="1">
      <alignment horizontal="center" vertical="center"/>
      <protection locked="0"/>
    </xf>
    <xf numFmtId="15" fontId="0" fillId="34" borderId="40" xfId="0" applyNumberFormat="1" applyFont="1" applyFill="1" applyBorder="1" applyAlignment="1" applyProtection="1">
      <alignment vertical="center" wrapText="1"/>
      <protection locked="0"/>
    </xf>
    <xf numFmtId="15" fontId="0" fillId="41" borderId="40" xfId="0" applyNumberFormat="1" applyFont="1" applyFill="1" applyBorder="1" applyAlignment="1" applyProtection="1">
      <alignment horizontal="center" vertical="center" wrapText="1"/>
      <protection locked="0"/>
    </xf>
    <xf numFmtId="17" fontId="0" fillId="34" borderId="40" xfId="0" applyNumberFormat="1" applyFill="1" applyBorder="1" applyAlignment="1" applyProtection="1">
      <alignment horizontal="center" vertical="center"/>
      <protection locked="0"/>
    </xf>
    <xf numFmtId="0" fontId="0" fillId="34" borderId="40" xfId="0" applyFill="1" applyBorder="1" applyAlignment="1" applyProtection="1">
      <alignment horizontal="center" vertical="center"/>
      <protection locked="0"/>
    </xf>
    <xf numFmtId="0" fontId="10" fillId="41" borderId="40" xfId="0" applyFont="1" applyFill="1" applyBorder="1" applyAlignment="1">
      <alignment/>
    </xf>
    <xf numFmtId="0" fontId="10" fillId="0" borderId="40" xfId="0" applyFont="1" applyBorder="1" applyAlignment="1">
      <alignment/>
    </xf>
    <xf numFmtId="14" fontId="114" fillId="0" borderId="13" xfId="0" applyNumberFormat="1" applyFont="1" applyFill="1" applyBorder="1" applyAlignment="1">
      <alignment horizontal="center" vertical="center" wrapText="1"/>
    </xf>
    <xf numFmtId="165" fontId="114" fillId="0" borderId="10" xfId="66" applyNumberFormat="1" applyFont="1" applyBorder="1" applyAlignment="1">
      <alignment horizontal="right"/>
    </xf>
    <xf numFmtId="165" fontId="116" fillId="0" borderId="43" xfId="66" applyNumberFormat="1" applyFont="1" applyBorder="1" applyAlignment="1">
      <alignment horizontal="right"/>
    </xf>
    <xf numFmtId="165" fontId="116" fillId="0" borderId="77" xfId="66" applyNumberFormat="1" applyFont="1" applyBorder="1" applyAlignment="1">
      <alignment horizontal="right"/>
    </xf>
    <xf numFmtId="0" fontId="27" fillId="0" borderId="10" xfId="0" applyFont="1" applyFill="1" applyBorder="1" applyAlignment="1" applyProtection="1">
      <alignment horizontal="left" vertical="top" wrapText="1"/>
      <protection locked="0"/>
    </xf>
    <xf numFmtId="0" fontId="116" fillId="0" borderId="10" xfId="0" applyFont="1" applyBorder="1" applyAlignment="1">
      <alignment vertical="top" wrapText="1"/>
    </xf>
    <xf numFmtId="0" fontId="112" fillId="0" borderId="10" xfId="0" applyFont="1" applyBorder="1" applyAlignment="1" applyProtection="1">
      <alignment horizontal="center" vertical="top" wrapText="1"/>
      <protection locked="0"/>
    </xf>
    <xf numFmtId="0" fontId="112" fillId="0" borderId="10" xfId="0" applyFont="1" applyBorder="1" applyAlignment="1">
      <alignment horizontal="center" vertical="top" wrapText="1"/>
    </xf>
    <xf numFmtId="0" fontId="112" fillId="0" borderId="10" xfId="0" applyFont="1" applyBorder="1" applyAlignment="1">
      <alignment horizontal="center" vertical="top"/>
    </xf>
    <xf numFmtId="0" fontId="114" fillId="8" borderId="10" xfId="0" applyFont="1" applyFill="1" applyBorder="1" applyAlignment="1">
      <alignment vertical="center" wrapText="1"/>
    </xf>
    <xf numFmtId="0" fontId="11" fillId="8" borderId="10" xfId="0" applyFont="1" applyFill="1" applyBorder="1" applyAlignment="1">
      <alignment vertical="center" wrapText="1"/>
    </xf>
    <xf numFmtId="0" fontId="11" fillId="8" borderId="10" xfId="0" applyFont="1" applyFill="1" applyBorder="1" applyAlignment="1">
      <alignment horizontal="center" vertical="center" wrapText="1"/>
    </xf>
    <xf numFmtId="0" fontId="11" fillId="0" borderId="10" xfId="0" applyFont="1" applyFill="1" applyBorder="1" applyAlignment="1">
      <alignment vertical="center" wrapText="1"/>
    </xf>
    <xf numFmtId="0" fontId="11" fillId="0" borderId="39" xfId="0" applyFont="1" applyBorder="1" applyAlignment="1" applyProtection="1">
      <alignment horizontal="justify" vertical="top" wrapText="1"/>
      <protection locked="0"/>
    </xf>
    <xf numFmtId="0" fontId="11" fillId="0" borderId="36" xfId="0" applyFont="1" applyBorder="1" applyAlignment="1" applyProtection="1">
      <alignment horizontal="left" vertical="top" wrapText="1"/>
      <protection locked="0"/>
    </xf>
    <xf numFmtId="0" fontId="10" fillId="0" borderId="10" xfId="0" applyFont="1" applyBorder="1" applyAlignment="1" applyProtection="1">
      <alignment horizontal="center" vertical="top" wrapText="1"/>
      <protection locked="0"/>
    </xf>
    <xf numFmtId="15" fontId="7" fillId="0" borderId="0" xfId="0" applyNumberFormat="1" applyFont="1" applyAlignment="1" applyProtection="1">
      <alignment horizontal="center" vertical="center" wrapText="1"/>
      <protection locked="0"/>
    </xf>
    <xf numFmtId="15" fontId="7" fillId="0" borderId="0" xfId="0" applyNumberFormat="1" applyFont="1" applyAlignment="1" applyProtection="1">
      <alignment horizontal="center" vertical="center" wrapText="1"/>
      <protection locked="0"/>
    </xf>
    <xf numFmtId="0" fontId="34" fillId="0" borderId="0" xfId="0" applyFont="1" applyAlignment="1" applyProtection="1">
      <alignment horizontal="center" vertical="top" wrapText="1"/>
      <protection locked="0"/>
    </xf>
    <xf numFmtId="0" fontId="24" fillId="0" borderId="0" xfId="0" applyFont="1" applyAlignment="1" applyProtection="1">
      <alignment horizontal="center" vertical="top" wrapText="1"/>
      <protection locked="0"/>
    </xf>
    <xf numFmtId="0" fontId="7" fillId="0" borderId="0" xfId="0" applyFont="1" applyAlignment="1" applyProtection="1">
      <alignment horizontal="center"/>
      <protection locked="0"/>
    </xf>
    <xf numFmtId="0" fontId="7" fillId="0" borderId="0" xfId="0" applyFont="1" applyAlignment="1" applyProtection="1">
      <alignment horizontal="center"/>
      <protection locked="0"/>
    </xf>
    <xf numFmtId="0" fontId="27" fillId="0" borderId="0" xfId="0" applyFont="1" applyAlignment="1">
      <alignment horizontal="center"/>
    </xf>
    <xf numFmtId="0" fontId="27" fillId="0" borderId="54" xfId="0" applyFont="1" applyFill="1" applyBorder="1" applyAlignment="1">
      <alignment horizontal="left" vertical="center"/>
    </xf>
    <xf numFmtId="0" fontId="27" fillId="0" borderId="126" xfId="0" applyFont="1" applyFill="1" applyBorder="1" applyAlignment="1">
      <alignment horizontal="left" vertical="center"/>
    </xf>
    <xf numFmtId="9" fontId="8" fillId="33" borderId="38" xfId="53" applyFont="1" applyFill="1" applyBorder="1" applyAlignment="1">
      <alignment horizontal="left" vertical="center" wrapText="1"/>
    </xf>
    <xf numFmtId="9" fontId="8" fillId="33" borderId="34" xfId="53" applyFont="1" applyFill="1" applyBorder="1" applyAlignment="1">
      <alignment horizontal="left" vertical="center" wrapText="1"/>
    </xf>
    <xf numFmtId="9" fontId="8" fillId="33" borderId="125" xfId="53" applyFont="1" applyFill="1" applyBorder="1" applyAlignment="1">
      <alignment horizontal="left" vertical="center" wrapText="1"/>
    </xf>
    <xf numFmtId="9" fontId="8" fillId="33" borderId="14" xfId="53" applyFont="1" applyFill="1" applyBorder="1" applyAlignment="1">
      <alignment horizontal="left" vertical="center" wrapText="1"/>
    </xf>
    <xf numFmtId="0" fontId="8" fillId="0" borderId="23" xfId="0" applyFont="1" applyBorder="1" applyAlignment="1">
      <alignment horizontal="left"/>
    </xf>
    <xf numFmtId="0" fontId="8" fillId="0" borderId="25" xfId="0" applyFont="1" applyBorder="1" applyAlignment="1">
      <alignment horizontal="left"/>
    </xf>
    <xf numFmtId="3" fontId="10" fillId="0" borderId="20" xfId="0" applyNumberFormat="1" applyFont="1" applyFill="1" applyBorder="1" applyAlignment="1">
      <alignment horizontal="center"/>
    </xf>
    <xf numFmtId="3" fontId="10" fillId="0" borderId="21" xfId="0" applyNumberFormat="1" applyFont="1" applyFill="1" applyBorder="1" applyAlignment="1">
      <alignment horizontal="center"/>
    </xf>
    <xf numFmtId="3" fontId="10" fillId="0" borderId="22" xfId="0" applyNumberFormat="1" applyFont="1" applyFill="1" applyBorder="1" applyAlignment="1">
      <alignment horizontal="center"/>
    </xf>
    <xf numFmtId="9" fontId="27" fillId="33" borderId="42" xfId="53" applyFont="1" applyFill="1" applyBorder="1" applyAlignment="1">
      <alignment horizontal="center" vertical="center" wrapText="1"/>
    </xf>
    <xf numFmtId="9" fontId="27" fillId="33" borderId="38" xfId="53" applyFont="1" applyFill="1" applyBorder="1" applyAlignment="1">
      <alignment horizontal="center" vertical="center" wrapText="1"/>
    </xf>
    <xf numFmtId="9" fontId="8" fillId="33" borderId="10" xfId="53" applyFont="1" applyFill="1" applyBorder="1" applyAlignment="1">
      <alignment horizontal="center" vertical="center" wrapText="1"/>
    </xf>
    <xf numFmtId="9" fontId="27" fillId="33" borderId="10" xfId="53"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27" fillId="33" borderId="17" xfId="0" applyFont="1" applyFill="1" applyBorder="1" applyAlignment="1">
      <alignment horizontal="center" vertical="center" wrapText="1"/>
    </xf>
    <xf numFmtId="0" fontId="8" fillId="0" borderId="30" xfId="0" applyFont="1" applyBorder="1" applyAlignment="1">
      <alignment horizontal="left"/>
    </xf>
    <xf numFmtId="0" fontId="8" fillId="0" borderId="31" xfId="0" applyFont="1" applyBorder="1" applyAlignment="1">
      <alignment horizontal="left"/>
    </xf>
    <xf numFmtId="0" fontId="8" fillId="0" borderId="32" xfId="0" applyFont="1" applyBorder="1" applyAlignment="1">
      <alignment horizontal="left"/>
    </xf>
    <xf numFmtId="9" fontId="8" fillId="33" borderId="13" xfId="53" applyFont="1" applyFill="1" applyBorder="1" applyAlignment="1">
      <alignment horizontal="left" vertical="center" wrapText="1"/>
    </xf>
    <xf numFmtId="9" fontId="27" fillId="0" borderId="11" xfId="53" applyFont="1" applyFill="1" applyBorder="1" applyAlignment="1">
      <alignment horizontal="left" vertical="center" wrapText="1"/>
    </xf>
    <xf numFmtId="9" fontId="27" fillId="0" borderId="10" xfId="53" applyFont="1" applyFill="1" applyBorder="1" applyAlignment="1">
      <alignment horizontal="left" vertical="center" wrapText="1"/>
    </xf>
    <xf numFmtId="9" fontId="10" fillId="0" borderId="11" xfId="53" applyFont="1" applyFill="1" applyBorder="1" applyAlignment="1">
      <alignment horizontal="left" vertical="center" wrapText="1"/>
    </xf>
    <xf numFmtId="9" fontId="10" fillId="0" borderId="10" xfId="53" applyFont="1" applyFill="1" applyBorder="1" applyAlignment="1">
      <alignment horizontal="left" vertical="center" wrapText="1"/>
    </xf>
    <xf numFmtId="174" fontId="27" fillId="33" borderId="10" xfId="48" applyNumberFormat="1" applyFont="1" applyFill="1" applyBorder="1" applyAlignment="1">
      <alignment horizontal="center" vertical="center" wrapText="1"/>
    </xf>
    <xf numFmtId="0" fontId="25" fillId="0" borderId="10" xfId="0" applyFont="1" applyFill="1" applyBorder="1" applyAlignment="1">
      <alignment horizontal="center" vertical="top" wrapText="1"/>
    </xf>
    <xf numFmtId="169" fontId="13" fillId="41" borderId="43" xfId="0" applyNumberFormat="1" applyFont="1" applyFill="1" applyBorder="1" applyAlignment="1">
      <alignment horizontal="center" vertical="center" wrapText="1"/>
    </xf>
    <xf numFmtId="169" fontId="13" fillId="41" borderId="127" xfId="0" applyNumberFormat="1" applyFont="1" applyFill="1" applyBorder="1" applyAlignment="1">
      <alignment horizontal="center" vertical="center" wrapText="1"/>
    </xf>
    <xf numFmtId="169" fontId="116" fillId="41" borderId="128" xfId="0" applyNumberFormat="1" applyFont="1" applyFill="1" applyBorder="1" applyAlignment="1">
      <alignment horizontal="center" vertical="center" wrapText="1"/>
    </xf>
    <xf numFmtId="169" fontId="116" fillId="41" borderId="127" xfId="0" applyNumberFormat="1" applyFont="1" applyFill="1" applyBorder="1" applyAlignment="1">
      <alignment horizontal="center" vertical="center" wrapText="1"/>
    </xf>
    <xf numFmtId="1" fontId="12" fillId="33" borderId="40" xfId="66" applyNumberFormat="1" applyFont="1" applyFill="1" applyBorder="1" applyAlignment="1">
      <alignment horizontal="center" vertical="center"/>
    </xf>
    <xf numFmtId="1" fontId="12" fillId="33" borderId="52" xfId="66" applyNumberFormat="1" applyFont="1" applyFill="1" applyBorder="1" applyAlignment="1">
      <alignment horizontal="center" vertical="center"/>
    </xf>
    <xf numFmtId="1" fontId="59" fillId="33" borderId="40" xfId="66" applyNumberFormat="1" applyFont="1" applyFill="1" applyBorder="1" applyAlignment="1">
      <alignment horizontal="center" vertical="center" wrapText="1"/>
    </xf>
    <xf numFmtId="1" fontId="59" fillId="33" borderId="52" xfId="66" applyNumberFormat="1" applyFont="1" applyFill="1" applyBorder="1" applyAlignment="1">
      <alignment horizontal="center" vertical="center"/>
    </xf>
    <xf numFmtId="1" fontId="12" fillId="0" borderId="40" xfId="66" applyNumberFormat="1" applyFont="1" applyFill="1" applyBorder="1" applyAlignment="1">
      <alignment horizontal="center" vertical="center"/>
    </xf>
    <xf numFmtId="1" fontId="12" fillId="0" borderId="52" xfId="66" applyNumberFormat="1" applyFont="1" applyFill="1" applyBorder="1" applyAlignment="1">
      <alignment horizontal="center" vertical="center"/>
    </xf>
    <xf numFmtId="1" fontId="12" fillId="0" borderId="67" xfId="66" applyNumberFormat="1" applyFont="1" applyFill="1" applyBorder="1" applyAlignment="1">
      <alignment horizontal="center" vertical="center"/>
    </xf>
    <xf numFmtId="3" fontId="12" fillId="0" borderId="40" xfId="0" applyNumberFormat="1" applyFont="1" applyFill="1" applyBorder="1" applyAlignment="1">
      <alignment horizontal="center"/>
    </xf>
    <xf numFmtId="0" fontId="11" fillId="0" borderId="67" xfId="0" applyFont="1" applyBorder="1" applyAlignment="1">
      <alignment/>
    </xf>
    <xf numFmtId="3" fontId="12" fillId="33" borderId="40" xfId="0" applyNumberFormat="1" applyFont="1" applyFill="1" applyBorder="1" applyAlignment="1">
      <alignment horizontal="center"/>
    </xf>
    <xf numFmtId="3" fontId="12" fillId="33" borderId="67" xfId="0" applyNumberFormat="1" applyFont="1" applyFill="1" applyBorder="1" applyAlignment="1">
      <alignment horizontal="center"/>
    </xf>
    <xf numFmtId="3" fontId="12" fillId="0" borderId="43" xfId="0" applyNumberFormat="1" applyFont="1" applyFill="1" applyBorder="1" applyAlignment="1">
      <alignment horizontal="center"/>
    </xf>
    <xf numFmtId="3" fontId="11" fillId="0" borderId="57" xfId="0" applyNumberFormat="1" applyFont="1" applyFill="1" applyBorder="1" applyAlignment="1">
      <alignment horizontal="center" vertical="center" wrapText="1"/>
    </xf>
    <xf numFmtId="0" fontId="11" fillId="0" borderId="129" xfId="0" applyFont="1" applyBorder="1" applyAlignment="1">
      <alignment horizontal="center" vertical="center" wrapText="1"/>
    </xf>
    <xf numFmtId="3" fontId="12" fillId="33" borderId="57" xfId="0"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xf>
    <xf numFmtId="3" fontId="12" fillId="0" borderId="41" xfId="0" applyNumberFormat="1" applyFont="1" applyFill="1" applyBorder="1" applyAlignment="1">
      <alignment horizontal="center" vertical="center"/>
    </xf>
    <xf numFmtId="3" fontId="12" fillId="0" borderId="130" xfId="0" applyNumberFormat="1" applyFont="1" applyFill="1" applyBorder="1" applyAlignment="1">
      <alignment horizontal="center" vertical="center"/>
    </xf>
    <xf numFmtId="3" fontId="12" fillId="33" borderId="41" xfId="0" applyNumberFormat="1" applyFont="1" applyFill="1" applyBorder="1" applyAlignment="1">
      <alignment horizontal="center" vertical="center"/>
    </xf>
    <xf numFmtId="3" fontId="12" fillId="33" borderId="130" xfId="0" applyNumberFormat="1" applyFont="1" applyFill="1" applyBorder="1" applyAlignment="1">
      <alignment horizontal="center" vertical="center"/>
    </xf>
    <xf numFmtId="169" fontId="12" fillId="33" borderId="43" xfId="0" applyNumberFormat="1" applyFont="1" applyFill="1" applyBorder="1" applyAlignment="1">
      <alignment horizontal="center" vertical="center" wrapText="1"/>
    </xf>
    <xf numFmtId="169" fontId="12" fillId="33" borderId="96" xfId="0" applyNumberFormat="1" applyFont="1" applyFill="1" applyBorder="1" applyAlignment="1">
      <alignment horizontal="center" vertical="center" wrapText="1"/>
    </xf>
    <xf numFmtId="169" fontId="12" fillId="33" borderId="33" xfId="0" applyNumberFormat="1"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33" xfId="0" applyFont="1" applyFill="1" applyBorder="1" applyAlignment="1">
      <alignment horizontal="center" vertical="center" wrapText="1"/>
    </xf>
    <xf numFmtId="1" fontId="59" fillId="33" borderId="40" xfId="66" applyNumberFormat="1"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43" xfId="0" applyFont="1" applyFill="1" applyBorder="1" applyAlignment="1">
      <alignment horizontal="center" vertical="center" wrapText="1"/>
    </xf>
    <xf numFmtId="3" fontId="11" fillId="0" borderId="62" xfId="0" applyNumberFormat="1" applyFont="1" applyFill="1" applyBorder="1" applyAlignment="1">
      <alignment horizontal="center" vertical="center" wrapText="1"/>
    </xf>
    <xf numFmtId="0" fontId="11" fillId="0" borderId="70" xfId="0" applyFont="1" applyBorder="1" applyAlignment="1">
      <alignment horizontal="center" vertical="center" wrapText="1"/>
    </xf>
    <xf numFmtId="3" fontId="12" fillId="33" borderId="62" xfId="0" applyNumberFormat="1" applyFont="1" applyFill="1" applyBorder="1" applyAlignment="1">
      <alignment horizontal="center" vertical="center" wrapText="1"/>
    </xf>
    <xf numFmtId="3" fontId="30" fillId="0" borderId="57" xfId="0" applyNumberFormat="1" applyFont="1" applyFill="1" applyBorder="1" applyAlignment="1">
      <alignment horizontal="center" vertical="center" wrapText="1"/>
    </xf>
    <xf numFmtId="0" fontId="30" fillId="0" borderId="129" xfId="0" applyFont="1" applyBorder="1" applyAlignment="1">
      <alignment horizontal="center" vertical="center" wrapText="1"/>
    </xf>
    <xf numFmtId="3" fontId="13" fillId="33" borderId="57" xfId="0" applyNumberFormat="1" applyFont="1" applyFill="1" applyBorder="1" applyAlignment="1">
      <alignment horizontal="center" vertical="center" wrapText="1"/>
    </xf>
    <xf numFmtId="3" fontId="11" fillId="33" borderId="62" xfId="0" applyNumberFormat="1" applyFont="1" applyFill="1" applyBorder="1" applyAlignment="1">
      <alignment horizontal="center" vertical="center" wrapText="1"/>
    </xf>
    <xf numFmtId="3" fontId="11" fillId="41" borderId="62" xfId="0" applyNumberFormat="1" applyFont="1" applyFill="1" applyBorder="1" applyAlignment="1">
      <alignment horizontal="center" vertical="center" wrapText="1"/>
    </xf>
    <xf numFmtId="0" fontId="11" fillId="41" borderId="70" xfId="0" applyFont="1" applyFill="1" applyBorder="1" applyAlignment="1">
      <alignment horizontal="center" vertical="center" wrapText="1"/>
    </xf>
    <xf numFmtId="3" fontId="11" fillId="33" borderId="57" xfId="0" applyNumberFormat="1" applyFont="1" applyFill="1" applyBorder="1" applyAlignment="1">
      <alignment horizontal="center" vertical="center" wrapText="1"/>
    </xf>
    <xf numFmtId="3" fontId="11" fillId="0" borderId="65" xfId="0" applyNumberFormat="1" applyFont="1" applyFill="1" applyBorder="1" applyAlignment="1">
      <alignment horizontal="center" vertical="center" wrapText="1"/>
    </xf>
    <xf numFmtId="0" fontId="11" fillId="0" borderId="73" xfId="0" applyFont="1" applyBorder="1" applyAlignment="1">
      <alignment horizontal="center" vertical="center" wrapText="1"/>
    </xf>
    <xf numFmtId="3" fontId="12" fillId="33" borderId="65" xfId="0" applyNumberFormat="1" applyFont="1" applyFill="1" applyBorder="1" applyAlignment="1">
      <alignment horizontal="center" vertical="center" wrapText="1"/>
    </xf>
    <xf numFmtId="3" fontId="11" fillId="33" borderId="65" xfId="0" applyNumberFormat="1" applyFont="1" applyFill="1" applyBorder="1" applyAlignment="1">
      <alignment horizontal="center" vertical="center" wrapText="1"/>
    </xf>
    <xf numFmtId="3" fontId="11" fillId="0" borderId="73" xfId="0" applyNumberFormat="1" applyFont="1" applyFill="1" applyBorder="1" applyAlignment="1">
      <alignment horizontal="center" vertical="center" wrapText="1"/>
    </xf>
    <xf numFmtId="3" fontId="12" fillId="33" borderId="73" xfId="0" applyNumberFormat="1" applyFont="1" applyFill="1" applyBorder="1" applyAlignment="1">
      <alignment horizontal="center" vertical="center" wrapText="1"/>
    </xf>
    <xf numFmtId="3" fontId="30" fillId="41" borderId="65" xfId="0" applyNumberFormat="1" applyFont="1" applyFill="1" applyBorder="1" applyAlignment="1">
      <alignment horizontal="center" vertical="center" wrapText="1"/>
    </xf>
    <xf numFmtId="3" fontId="30" fillId="41" borderId="73" xfId="0" applyNumberFormat="1" applyFont="1" applyFill="1" applyBorder="1" applyAlignment="1">
      <alignment horizontal="center" vertical="center" wrapText="1"/>
    </xf>
    <xf numFmtId="3" fontId="13" fillId="41" borderId="65" xfId="0" applyNumberFormat="1" applyFont="1" applyFill="1" applyBorder="1" applyAlignment="1">
      <alignment horizontal="center" vertical="center" wrapText="1"/>
    </xf>
    <xf numFmtId="3" fontId="13" fillId="41" borderId="73" xfId="0" applyNumberFormat="1" applyFont="1" applyFill="1" applyBorder="1" applyAlignment="1">
      <alignment horizontal="center" vertical="center" wrapText="1"/>
    </xf>
    <xf numFmtId="3" fontId="12" fillId="0" borderId="40" xfId="0" applyNumberFormat="1" applyFont="1" applyFill="1" applyBorder="1" applyAlignment="1">
      <alignment horizontal="center" vertical="center"/>
    </xf>
    <xf numFmtId="3" fontId="12" fillId="0" borderId="67" xfId="0" applyNumberFormat="1" applyFont="1" applyFill="1" applyBorder="1" applyAlignment="1">
      <alignment horizontal="center" vertical="center"/>
    </xf>
    <xf numFmtId="3" fontId="12" fillId="33" borderId="40" xfId="0" applyNumberFormat="1" applyFont="1" applyFill="1" applyBorder="1" applyAlignment="1">
      <alignment horizontal="center" vertical="center"/>
    </xf>
    <xf numFmtId="3" fontId="12" fillId="33" borderId="67" xfId="0" applyNumberFormat="1" applyFont="1" applyFill="1" applyBorder="1" applyAlignment="1">
      <alignment horizontal="center" vertical="center"/>
    </xf>
    <xf numFmtId="3" fontId="11" fillId="0" borderId="60" xfId="0" applyNumberFormat="1" applyFont="1" applyFill="1" applyBorder="1" applyAlignment="1">
      <alignment horizontal="center" vertical="center" wrapText="1"/>
    </xf>
    <xf numFmtId="0" fontId="11" fillId="0" borderId="61" xfId="0" applyFont="1" applyBorder="1" applyAlignment="1">
      <alignment horizontal="center" vertical="center" wrapText="1"/>
    </xf>
    <xf numFmtId="3" fontId="12" fillId="33" borderId="60" xfId="0" applyNumberFormat="1" applyFont="1" applyFill="1" applyBorder="1" applyAlignment="1">
      <alignment horizontal="center" vertical="center" wrapText="1"/>
    </xf>
    <xf numFmtId="3" fontId="11" fillId="0" borderId="70" xfId="0" applyNumberFormat="1" applyFont="1" applyFill="1" applyBorder="1" applyAlignment="1">
      <alignment horizontal="center" vertical="center" wrapText="1"/>
    </xf>
    <xf numFmtId="3" fontId="11" fillId="33" borderId="70" xfId="0" applyNumberFormat="1" applyFont="1" applyFill="1" applyBorder="1" applyAlignment="1">
      <alignment horizontal="center" vertical="center" wrapText="1"/>
    </xf>
    <xf numFmtId="3" fontId="11" fillId="0" borderId="91" xfId="0" applyNumberFormat="1" applyFont="1" applyFill="1" applyBorder="1" applyAlignment="1">
      <alignment horizontal="center" vertical="center" wrapText="1"/>
    </xf>
    <xf numFmtId="3" fontId="11" fillId="0" borderId="131" xfId="0" applyNumberFormat="1" applyFont="1" applyFill="1" applyBorder="1" applyAlignment="1">
      <alignment horizontal="center" vertical="center" wrapText="1"/>
    </xf>
    <xf numFmtId="3" fontId="12" fillId="33" borderId="91" xfId="0" applyNumberFormat="1" applyFont="1" applyFill="1" applyBorder="1" applyAlignment="1">
      <alignment horizontal="center" vertical="center" wrapText="1"/>
    </xf>
    <xf numFmtId="3" fontId="12" fillId="33" borderId="131" xfId="0" applyNumberFormat="1" applyFont="1" applyFill="1" applyBorder="1" applyAlignment="1">
      <alignment horizontal="center" vertical="center" wrapText="1"/>
    </xf>
    <xf numFmtId="3" fontId="12" fillId="33" borderId="77" xfId="0" applyNumberFormat="1" applyFont="1" applyFill="1" applyBorder="1" applyAlignment="1">
      <alignment horizontal="center"/>
    </xf>
    <xf numFmtId="3" fontId="12" fillId="33" borderId="93" xfId="0" applyNumberFormat="1" applyFont="1" applyFill="1" applyBorder="1" applyAlignment="1">
      <alignment horizontal="center"/>
    </xf>
    <xf numFmtId="1" fontId="12" fillId="33" borderId="132" xfId="66" applyNumberFormat="1" applyFont="1" applyFill="1" applyBorder="1" applyAlignment="1">
      <alignment horizontal="center" vertical="center"/>
    </xf>
    <xf numFmtId="1" fontId="12" fillId="33" borderId="29" xfId="66" applyNumberFormat="1" applyFont="1" applyFill="1" applyBorder="1" applyAlignment="1">
      <alignment horizontal="center" vertical="center"/>
    </xf>
    <xf numFmtId="0" fontId="12" fillId="46" borderId="76" xfId="0" applyFont="1" applyFill="1" applyBorder="1" applyAlignment="1">
      <alignment horizontal="center" vertical="center" wrapText="1"/>
    </xf>
    <xf numFmtId="1" fontId="12" fillId="33" borderId="28" xfId="66" applyNumberFormat="1" applyFont="1" applyFill="1" applyBorder="1" applyAlignment="1">
      <alignment horizontal="center" vertical="center"/>
    </xf>
    <xf numFmtId="1" fontId="12" fillId="0" borderId="132" xfId="66" applyNumberFormat="1" applyFont="1" applyFill="1" applyBorder="1" applyAlignment="1">
      <alignment horizontal="center" vertical="center"/>
    </xf>
    <xf numFmtId="1" fontId="12" fillId="0" borderId="28" xfId="66" applyNumberFormat="1" applyFont="1" applyFill="1" applyBorder="1" applyAlignment="1">
      <alignment horizontal="center" vertical="center"/>
    </xf>
    <xf numFmtId="1" fontId="12" fillId="0" borderId="133" xfId="66" applyNumberFormat="1" applyFont="1" applyFill="1" applyBorder="1" applyAlignment="1">
      <alignment horizontal="center" vertical="center"/>
    </xf>
    <xf numFmtId="1" fontId="12" fillId="33" borderId="75" xfId="66" applyNumberFormat="1" applyFont="1" applyFill="1" applyBorder="1" applyAlignment="1">
      <alignment horizontal="center" vertical="center"/>
    </xf>
    <xf numFmtId="1" fontId="12" fillId="33" borderId="39" xfId="66" applyNumberFormat="1" applyFont="1" applyFill="1" applyBorder="1" applyAlignment="1">
      <alignment horizontal="center" vertical="center"/>
    </xf>
    <xf numFmtId="1" fontId="12" fillId="0" borderId="75" xfId="66" applyNumberFormat="1" applyFont="1" applyFill="1" applyBorder="1" applyAlignment="1">
      <alignment horizontal="center" vertical="center"/>
    </xf>
    <xf numFmtId="1" fontId="12" fillId="0" borderId="37" xfId="66" applyNumberFormat="1" applyFont="1" applyFill="1" applyBorder="1" applyAlignment="1">
      <alignment horizontal="center" vertical="center"/>
    </xf>
    <xf numFmtId="1" fontId="12" fillId="0" borderId="74" xfId="66" applyNumberFormat="1" applyFont="1" applyFill="1" applyBorder="1" applyAlignment="1">
      <alignment horizontal="center" vertical="center"/>
    </xf>
    <xf numFmtId="0" fontId="35" fillId="0" borderId="0" xfId="0" applyFont="1" applyFill="1" applyBorder="1" applyAlignment="1">
      <alignment horizontal="center" vertical="center" wrapText="1"/>
    </xf>
    <xf numFmtId="169" fontId="12" fillId="33" borderId="54" xfId="0" applyNumberFormat="1" applyFont="1" applyFill="1" applyBorder="1" applyAlignment="1">
      <alignment horizontal="center" vertical="center" wrapText="1"/>
    </xf>
    <xf numFmtId="169" fontId="12" fillId="33" borderId="89" xfId="0" applyNumberFormat="1" applyFont="1" applyFill="1" applyBorder="1" applyAlignment="1">
      <alignment horizontal="center" vertical="center" wrapText="1"/>
    </xf>
    <xf numFmtId="169" fontId="12" fillId="33" borderId="38" xfId="0" applyNumberFormat="1" applyFont="1" applyFill="1" applyBorder="1" applyAlignment="1">
      <alignment horizontal="center" vertical="center" wrapText="1"/>
    </xf>
    <xf numFmtId="0" fontId="12" fillId="46" borderId="96" xfId="0" applyFont="1" applyFill="1" applyBorder="1" applyAlignment="1">
      <alignment horizontal="center" vertical="center" wrapText="1"/>
    </xf>
    <xf numFmtId="0" fontId="12" fillId="46" borderId="33" xfId="0" applyFont="1" applyFill="1" applyBorder="1" applyAlignment="1">
      <alignment horizontal="center" vertical="center" wrapText="1"/>
    </xf>
    <xf numFmtId="0" fontId="12" fillId="33" borderId="134" xfId="0" applyFont="1" applyFill="1" applyBorder="1" applyAlignment="1">
      <alignment horizontal="center" vertical="center" wrapText="1"/>
    </xf>
    <xf numFmtId="0" fontId="12" fillId="33" borderId="75" xfId="0" applyFont="1" applyFill="1" applyBorder="1" applyAlignment="1">
      <alignment horizontal="center" vertical="center" wrapText="1"/>
    </xf>
    <xf numFmtId="3" fontId="12" fillId="33" borderId="23" xfId="0" applyNumberFormat="1" applyFont="1" applyFill="1" applyBorder="1" applyAlignment="1">
      <alignment horizontal="center" vertical="center"/>
    </xf>
    <xf numFmtId="3" fontId="12" fillId="33" borderId="24" xfId="0" applyNumberFormat="1" applyFont="1" applyFill="1" applyBorder="1" applyAlignment="1">
      <alignment horizontal="center" vertical="center"/>
    </xf>
    <xf numFmtId="1" fontId="12" fillId="33" borderId="37" xfId="66" applyNumberFormat="1" applyFont="1" applyFill="1" applyBorder="1" applyAlignment="1">
      <alignment horizontal="center" vertical="center"/>
    </xf>
    <xf numFmtId="0" fontId="27" fillId="33" borderId="132" xfId="0" applyFont="1" applyFill="1" applyBorder="1" applyAlignment="1">
      <alignment horizontal="left" vertical="top" wrapText="1"/>
    </xf>
    <xf numFmtId="0" fontId="27" fillId="33" borderId="28" xfId="0" applyFont="1" applyFill="1" applyBorder="1" applyAlignment="1">
      <alignment horizontal="left" vertical="top" wrapText="1"/>
    </xf>
    <xf numFmtId="0" fontId="27" fillId="40" borderId="93" xfId="0" applyFont="1" applyFill="1" applyBorder="1" applyAlignment="1">
      <alignment horizontal="center" vertical="top" wrapText="1"/>
    </xf>
    <xf numFmtId="0" fontId="27" fillId="40" borderId="74" xfId="0" applyFont="1" applyFill="1" applyBorder="1" applyAlignment="1">
      <alignment horizontal="center" vertical="top" wrapText="1"/>
    </xf>
    <xf numFmtId="0" fontId="27" fillId="33" borderId="41" xfId="0" applyFont="1" applyFill="1" applyBorder="1" applyAlignment="1">
      <alignment horizontal="left" vertical="top" wrapText="1"/>
    </xf>
    <xf numFmtId="0" fontId="27" fillId="33" borderId="46" xfId="0" applyFont="1" applyFill="1" applyBorder="1" applyAlignment="1">
      <alignment horizontal="left" vertical="top" wrapText="1"/>
    </xf>
    <xf numFmtId="0" fontId="27" fillId="33" borderId="130" xfId="0" applyFont="1" applyFill="1" applyBorder="1" applyAlignment="1">
      <alignment horizontal="left" vertical="top" wrapText="1"/>
    </xf>
    <xf numFmtId="0" fontId="10" fillId="0" borderId="43" xfId="0" applyFont="1" applyBorder="1" applyAlignment="1" applyProtection="1">
      <alignment horizontal="center" vertical="top" wrapText="1"/>
      <protection locked="0"/>
    </xf>
    <xf numFmtId="0" fontId="10" fillId="0" borderId="96" xfId="0" applyFont="1" applyBorder="1" applyAlignment="1" applyProtection="1">
      <alignment horizontal="center" vertical="top" wrapText="1"/>
      <protection locked="0"/>
    </xf>
    <xf numFmtId="0" fontId="10" fillId="0" borderId="33" xfId="0" applyFont="1" applyBorder="1" applyAlignment="1" applyProtection="1">
      <alignment horizontal="center" vertical="top" wrapText="1"/>
      <protection locked="0"/>
    </xf>
    <xf numFmtId="0" fontId="10" fillId="0" borderId="43" xfId="0" applyFont="1" applyBorder="1" applyAlignment="1" applyProtection="1">
      <alignment horizontal="justify" vertical="center" wrapText="1"/>
      <protection locked="0"/>
    </xf>
    <xf numFmtId="0" fontId="10" fillId="0" borderId="96" xfId="0" applyFont="1" applyBorder="1" applyAlignment="1" applyProtection="1">
      <alignment horizontal="justify" vertical="center" wrapText="1"/>
      <protection locked="0"/>
    </xf>
    <xf numFmtId="0" fontId="10" fillId="0" borderId="90" xfId="0" applyFont="1" applyBorder="1" applyAlignment="1" applyProtection="1">
      <alignment horizontal="justify" vertical="center" wrapText="1"/>
      <protection locked="0"/>
    </xf>
    <xf numFmtId="0" fontId="27" fillId="42" borderId="93" xfId="0" applyFont="1" applyFill="1" applyBorder="1" applyAlignment="1">
      <alignment horizontal="center" vertical="center" wrapText="1"/>
    </xf>
    <xf numFmtId="0" fontId="27" fillId="42" borderId="59" xfId="0" applyFont="1" applyFill="1" applyBorder="1" applyAlignment="1">
      <alignment horizontal="center" vertical="center" wrapText="1"/>
    </xf>
    <xf numFmtId="0" fontId="27" fillId="42" borderId="74" xfId="0" applyFont="1" applyFill="1" applyBorder="1" applyAlignment="1">
      <alignment horizontal="center" vertical="center" wrapText="1"/>
    </xf>
    <xf numFmtId="0" fontId="27" fillId="35" borderId="67" xfId="0" applyFont="1" applyFill="1" applyBorder="1" applyAlignment="1">
      <alignment horizontal="left" wrapText="1"/>
    </xf>
    <xf numFmtId="0" fontId="27" fillId="35" borderId="10" xfId="0" applyFont="1" applyFill="1" applyBorder="1" applyAlignment="1">
      <alignment horizontal="left" wrapText="1"/>
    </xf>
    <xf numFmtId="0" fontId="10" fillId="35" borderId="10" xfId="0" applyFont="1" applyFill="1" applyBorder="1" applyAlignment="1">
      <alignment/>
    </xf>
    <xf numFmtId="0" fontId="10" fillId="35" borderId="17" xfId="0" applyFont="1" applyFill="1" applyBorder="1" applyAlignment="1">
      <alignment/>
    </xf>
    <xf numFmtId="0" fontId="27" fillId="33" borderId="40" xfId="0" applyFont="1" applyFill="1" applyBorder="1" applyAlignment="1">
      <alignment horizontal="left" vertical="top" wrapText="1"/>
    </xf>
    <xf numFmtId="0" fontId="27" fillId="33" borderId="52" xfId="0" applyFont="1" applyFill="1" applyBorder="1" applyAlignment="1">
      <alignment horizontal="left" vertical="top" wrapText="1"/>
    </xf>
    <xf numFmtId="0" fontId="10" fillId="0" borderId="43" xfId="0" applyFont="1" applyFill="1" applyBorder="1" applyAlignment="1" applyProtection="1">
      <alignment horizontal="left" vertical="top" wrapText="1"/>
      <protection locked="0"/>
    </xf>
    <xf numFmtId="0" fontId="10" fillId="0" borderId="96" xfId="0" applyFont="1" applyFill="1" applyBorder="1" applyAlignment="1" applyProtection="1">
      <alignment horizontal="left" vertical="top" wrapText="1"/>
      <protection locked="0"/>
    </xf>
    <xf numFmtId="0" fontId="20" fillId="0" borderId="43" xfId="0" applyFont="1" applyFill="1" applyBorder="1" applyAlignment="1" applyProtection="1">
      <alignment horizontal="left" vertical="top" wrapText="1"/>
      <protection locked="0"/>
    </xf>
    <xf numFmtId="0" fontId="20" fillId="0" borderId="96" xfId="0" applyFont="1" applyFill="1" applyBorder="1" applyAlignment="1" applyProtection="1">
      <alignment horizontal="left" vertical="top" wrapText="1"/>
      <protection locked="0"/>
    </xf>
    <xf numFmtId="0" fontId="20" fillId="0" borderId="33" xfId="0" applyFont="1" applyFill="1" applyBorder="1" applyAlignment="1" applyProtection="1">
      <alignment horizontal="left" vertical="top" wrapText="1"/>
      <protection locked="0"/>
    </xf>
    <xf numFmtId="0" fontId="27" fillId="33" borderId="67" xfId="0" applyFont="1" applyFill="1" applyBorder="1" applyAlignment="1">
      <alignment horizontal="left" vertical="top" wrapText="1"/>
    </xf>
    <xf numFmtId="0" fontId="27" fillId="33" borderId="75" xfId="0" applyFont="1" applyFill="1" applyBorder="1" applyAlignment="1">
      <alignment horizontal="left" vertical="top" wrapText="1"/>
    </xf>
    <xf numFmtId="0" fontId="27" fillId="33" borderId="37" xfId="0" applyFont="1" applyFill="1" applyBorder="1" applyAlignment="1">
      <alignment horizontal="left" vertical="top" wrapText="1"/>
    </xf>
    <xf numFmtId="0" fontId="20" fillId="0" borderId="43" xfId="0" applyFont="1" applyBorder="1" applyAlignment="1" applyProtection="1">
      <alignment horizontal="justify" vertical="center" wrapText="1"/>
      <protection locked="0"/>
    </xf>
    <xf numFmtId="0" fontId="27" fillId="33" borderId="76" xfId="0" applyFont="1" applyFill="1" applyBorder="1" applyAlignment="1">
      <alignment horizontal="center" vertical="center"/>
    </xf>
    <xf numFmtId="0" fontId="27" fillId="33" borderId="90" xfId="0" applyFont="1" applyFill="1" applyBorder="1" applyAlignment="1">
      <alignment horizontal="center" vertical="center"/>
    </xf>
    <xf numFmtId="0" fontId="10" fillId="0" borderId="43" xfId="0" applyFont="1" applyBorder="1" applyAlignment="1" applyProtection="1">
      <alignment horizontal="left" vertical="top" wrapText="1"/>
      <protection locked="0"/>
    </xf>
    <xf numFmtId="0" fontId="10" fillId="0" borderId="96" xfId="0" applyFont="1" applyBorder="1" applyAlignment="1" applyProtection="1">
      <alignment horizontal="left" vertical="top" wrapText="1"/>
      <protection locked="0"/>
    </xf>
    <xf numFmtId="0" fontId="10" fillId="0" borderId="90" xfId="0" applyFont="1" applyBorder="1" applyAlignment="1" applyProtection="1">
      <alignment horizontal="left" vertical="top" wrapText="1"/>
      <protection locked="0"/>
    </xf>
    <xf numFmtId="0" fontId="10" fillId="0" borderId="43" xfId="0" applyFont="1" applyBorder="1" applyAlignment="1">
      <alignment horizontal="center" vertical="center"/>
    </xf>
    <xf numFmtId="0" fontId="10" fillId="0" borderId="96" xfId="0" applyFont="1" applyBorder="1" applyAlignment="1">
      <alignment horizontal="center" vertical="center"/>
    </xf>
    <xf numFmtId="0" fontId="10" fillId="0" borderId="90" xfId="0" applyFont="1" applyBorder="1" applyAlignment="1">
      <alignment horizontal="center" vertical="center"/>
    </xf>
    <xf numFmtId="17" fontId="10" fillId="0" borderId="43" xfId="0" applyNumberFormat="1" applyFont="1" applyBorder="1" applyAlignment="1">
      <alignment horizontal="center" vertical="center"/>
    </xf>
    <xf numFmtId="0" fontId="10" fillId="0" borderId="44" xfId="0" applyFont="1" applyBorder="1" applyAlignment="1">
      <alignment horizontal="center" vertical="center"/>
    </xf>
    <xf numFmtId="0" fontId="10" fillId="0" borderId="135" xfId="0" applyFont="1" applyBorder="1" applyAlignment="1">
      <alignment horizontal="center" vertical="center"/>
    </xf>
    <xf numFmtId="0" fontId="10" fillId="0" borderId="124" xfId="0" applyFont="1" applyBorder="1" applyAlignment="1">
      <alignment horizontal="center" vertical="center"/>
    </xf>
    <xf numFmtId="0" fontId="8" fillId="0" borderId="66" xfId="0" applyFont="1" applyBorder="1" applyAlignment="1">
      <alignment horizontal="left"/>
    </xf>
    <xf numFmtId="0" fontId="27" fillId="35" borderId="36" xfId="0" applyFont="1" applyFill="1" applyBorder="1" applyAlignment="1">
      <alignment horizontal="left" wrapText="1"/>
    </xf>
    <xf numFmtId="0" fontId="27" fillId="35" borderId="37" xfId="0" applyFont="1" applyFill="1" applyBorder="1" applyAlignment="1">
      <alignment horizontal="left" wrapText="1"/>
    </xf>
    <xf numFmtId="0" fontId="27" fillId="35" borderId="39" xfId="0" applyFont="1" applyFill="1" applyBorder="1" applyAlignment="1">
      <alignment horizontal="left" wrapText="1"/>
    </xf>
    <xf numFmtId="0" fontId="27" fillId="33" borderId="136" xfId="0" applyFont="1" applyFill="1" applyBorder="1" applyAlignment="1">
      <alignment horizontal="center" vertical="center"/>
    </xf>
    <xf numFmtId="0" fontId="27" fillId="33" borderId="95" xfId="0" applyFont="1" applyFill="1" applyBorder="1" applyAlignment="1">
      <alignment horizontal="center" vertical="center"/>
    </xf>
    <xf numFmtId="0" fontId="8" fillId="0" borderId="24" xfId="0" applyFont="1" applyFill="1" applyBorder="1" applyAlignment="1">
      <alignment horizontal="left" vertical="center"/>
    </xf>
    <xf numFmtId="0" fontId="8" fillId="0" borderId="25" xfId="0" applyFont="1" applyFill="1" applyBorder="1" applyAlignment="1">
      <alignment horizontal="left" vertical="center"/>
    </xf>
    <xf numFmtId="0" fontId="112" fillId="46" borderId="76" xfId="0" applyFont="1" applyFill="1" applyBorder="1" applyAlignment="1" applyProtection="1">
      <alignment horizontal="center" vertical="center" wrapText="1"/>
      <protection locked="0"/>
    </xf>
    <xf numFmtId="0" fontId="112" fillId="46" borderId="33" xfId="0" applyFont="1" applyFill="1" applyBorder="1" applyAlignment="1" applyProtection="1">
      <alignment horizontal="center" vertical="center" wrapText="1"/>
      <protection locked="0"/>
    </xf>
    <xf numFmtId="0" fontId="27" fillId="46" borderId="76" xfId="0" applyFont="1" applyFill="1" applyBorder="1" applyAlignment="1" applyProtection="1">
      <alignment horizontal="center" vertical="center" wrapText="1"/>
      <protection locked="0"/>
    </xf>
    <xf numFmtId="0" fontId="27" fillId="46" borderId="33" xfId="0" applyFont="1" applyFill="1" applyBorder="1" applyAlignment="1" applyProtection="1">
      <alignment horizontal="center" vertical="center" wrapText="1"/>
      <protection locked="0"/>
    </xf>
    <xf numFmtId="0" fontId="27" fillId="46" borderId="13" xfId="0" applyFont="1" applyFill="1" applyBorder="1" applyAlignment="1">
      <alignment horizontal="center" vertical="center"/>
    </xf>
    <xf numFmtId="0" fontId="27" fillId="46" borderId="18" xfId="0" applyFont="1" applyFill="1" applyBorder="1" applyAlignment="1">
      <alignment horizontal="center" vertical="center"/>
    </xf>
    <xf numFmtId="0" fontId="26" fillId="33" borderId="132" xfId="0" applyFont="1" applyFill="1" applyBorder="1" applyAlignment="1">
      <alignment horizontal="center" vertical="center"/>
    </xf>
    <xf numFmtId="0" fontId="26" fillId="33" borderId="28" xfId="0" applyFont="1" applyFill="1" applyBorder="1" applyAlignment="1">
      <alignment horizontal="center" vertical="center"/>
    </xf>
    <xf numFmtId="0" fontId="26" fillId="33" borderId="29" xfId="0" applyFont="1" applyFill="1" applyBorder="1" applyAlignment="1">
      <alignment horizontal="center" vertical="center"/>
    </xf>
    <xf numFmtId="0" fontId="27" fillId="8" borderId="43" xfId="0" applyFont="1" applyFill="1" applyBorder="1" applyAlignment="1">
      <alignment horizontal="center" vertical="center"/>
    </xf>
    <xf numFmtId="0" fontId="27" fillId="8" borderId="33"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10" fillId="0" borderId="43" xfId="0" applyFont="1" applyBorder="1" applyAlignment="1">
      <alignment horizontal="left" vertical="top" wrapText="1"/>
    </xf>
    <xf numFmtId="0" fontId="10" fillId="0" borderId="96" xfId="0" applyFont="1" applyBorder="1" applyAlignment="1">
      <alignment horizontal="left" vertical="top" wrapText="1"/>
    </xf>
    <xf numFmtId="0" fontId="10" fillId="0" borderId="33" xfId="0" applyFont="1" applyBorder="1" applyAlignment="1">
      <alignment horizontal="left" vertical="top" wrapText="1"/>
    </xf>
    <xf numFmtId="168" fontId="10" fillId="0" borderId="43" xfId="66" applyNumberFormat="1" applyFont="1" applyFill="1" applyBorder="1" applyAlignment="1">
      <alignment horizontal="left" vertical="top"/>
    </xf>
    <xf numFmtId="168" fontId="10" fillId="0" borderId="96" xfId="66" applyNumberFormat="1" applyFont="1" applyFill="1" applyBorder="1" applyAlignment="1">
      <alignment horizontal="left" vertical="top"/>
    </xf>
    <xf numFmtId="168" fontId="10" fillId="0" borderId="33" xfId="66" applyNumberFormat="1" applyFont="1" applyFill="1" applyBorder="1" applyAlignment="1">
      <alignment horizontal="left" vertical="top"/>
    </xf>
    <xf numFmtId="0" fontId="29" fillId="0" borderId="43" xfId="0" applyFont="1" applyFill="1" applyBorder="1" applyAlignment="1">
      <alignment horizontal="center" vertical="top" wrapText="1"/>
    </xf>
    <xf numFmtId="0" fontId="29" fillId="0" borderId="96" xfId="0" applyFont="1" applyFill="1" applyBorder="1" applyAlignment="1">
      <alignment horizontal="center" vertical="top" wrapText="1"/>
    </xf>
    <xf numFmtId="0" fontId="29" fillId="0" borderId="33" xfId="0" applyFont="1" applyFill="1" applyBorder="1" applyAlignment="1">
      <alignment horizontal="center" vertical="top" wrapText="1"/>
    </xf>
    <xf numFmtId="0" fontId="11" fillId="0" borderId="43" xfId="0" applyFont="1" applyBorder="1" applyAlignment="1">
      <alignment horizontal="left" vertical="top" wrapText="1"/>
    </xf>
    <xf numFmtId="0" fontId="11" fillId="0" borderId="96" xfId="0" applyFont="1" applyBorder="1" applyAlignment="1">
      <alignment horizontal="left" vertical="top" wrapText="1"/>
    </xf>
    <xf numFmtId="0" fontId="11" fillId="0" borderId="33" xfId="0" applyFont="1" applyBorder="1" applyAlignment="1">
      <alignment horizontal="left" vertical="top" wrapText="1"/>
    </xf>
    <xf numFmtId="168" fontId="10" fillId="0" borderId="43" xfId="66" applyNumberFormat="1" applyFont="1" applyFill="1" applyBorder="1" applyAlignment="1">
      <alignment horizontal="center" vertical="top"/>
    </xf>
    <xf numFmtId="168" fontId="10" fillId="0" borderId="96" xfId="66" applyNumberFormat="1" applyFont="1" applyFill="1" applyBorder="1" applyAlignment="1">
      <alignment horizontal="center" vertical="top"/>
    </xf>
    <xf numFmtId="168" fontId="10" fillId="0" borderId="33" xfId="66" applyNumberFormat="1" applyFont="1" applyFill="1" applyBorder="1" applyAlignment="1">
      <alignment horizontal="center" vertical="top"/>
    </xf>
    <xf numFmtId="0" fontId="0" fillId="34" borderId="96" xfId="0" applyFont="1" applyFill="1" applyBorder="1" applyAlignment="1" applyProtection="1">
      <alignment horizontal="left" vertical="top" wrapText="1"/>
      <protection locked="0"/>
    </xf>
    <xf numFmtId="0" fontId="0" fillId="34" borderId="33" xfId="0" applyFont="1" applyFill="1" applyBorder="1" applyAlignment="1" applyProtection="1">
      <alignment horizontal="left" vertical="top" wrapText="1"/>
      <protection locked="0"/>
    </xf>
    <xf numFmtId="168" fontId="10" fillId="0" borderId="43" xfId="66" applyNumberFormat="1" applyFont="1" applyFill="1" applyBorder="1" applyAlignment="1">
      <alignment horizontal="center" vertical="top"/>
    </xf>
    <xf numFmtId="168" fontId="10" fillId="0" borderId="33" xfId="66" applyNumberFormat="1" applyFont="1" applyFill="1" applyBorder="1" applyAlignment="1">
      <alignment horizontal="center" vertical="top"/>
    </xf>
    <xf numFmtId="0" fontId="29" fillId="42" borderId="43" xfId="0" applyFont="1" applyFill="1" applyBorder="1" applyAlignment="1">
      <alignment horizontal="center" vertical="top" wrapText="1"/>
    </xf>
    <xf numFmtId="0" fontId="29" fillId="42" borderId="33" xfId="0" applyFont="1" applyFill="1" applyBorder="1" applyAlignment="1">
      <alignment horizontal="center" vertical="top" wrapText="1"/>
    </xf>
    <xf numFmtId="168" fontId="10" fillId="0" borderId="96" xfId="66" applyNumberFormat="1" applyFont="1" applyFill="1" applyBorder="1" applyAlignment="1">
      <alignment horizontal="center" vertical="top"/>
    </xf>
    <xf numFmtId="0" fontId="29" fillId="42" borderId="96" xfId="0" applyFont="1" applyFill="1" applyBorder="1" applyAlignment="1">
      <alignment horizontal="center" vertical="top" wrapText="1"/>
    </xf>
    <xf numFmtId="0" fontId="27" fillId="43" borderId="10" xfId="0" applyFont="1" applyFill="1" applyBorder="1" applyAlignment="1">
      <alignment horizontal="center" vertical="center" wrapText="1"/>
    </xf>
    <xf numFmtId="0" fontId="18" fillId="43" borderId="10" xfId="0" applyFont="1" applyFill="1" applyBorder="1" applyAlignment="1" applyProtection="1">
      <alignment horizontal="center" vertical="center" wrapText="1"/>
      <protection locked="0"/>
    </xf>
    <xf numFmtId="0" fontId="18" fillId="43" borderId="10" xfId="0" applyFont="1" applyFill="1" applyBorder="1" applyAlignment="1" applyProtection="1">
      <alignment horizontal="center" vertical="center"/>
      <protection locked="0"/>
    </xf>
    <xf numFmtId="0" fontId="18" fillId="43" borderId="10" xfId="0" applyFont="1" applyFill="1" applyBorder="1" applyAlignment="1" applyProtection="1">
      <alignment horizontal="center" vertical="distributed"/>
      <protection locked="0"/>
    </xf>
    <xf numFmtId="0" fontId="18" fillId="43" borderId="40" xfId="0" applyFont="1" applyFill="1" applyBorder="1" applyAlignment="1" applyProtection="1">
      <alignment horizontal="center" vertical="distributed"/>
      <protection locked="0"/>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37"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27" fillId="46" borderId="10" xfId="0" applyFont="1" applyFill="1" applyBorder="1" applyAlignment="1">
      <alignment horizontal="center" vertical="center" wrapText="1"/>
    </xf>
    <xf numFmtId="0" fontId="27" fillId="46" borderId="26" xfId="0" applyFont="1" applyFill="1" applyBorder="1" applyAlignment="1">
      <alignment horizontal="center" vertical="center" wrapText="1"/>
    </xf>
    <xf numFmtId="0" fontId="27" fillId="46" borderId="37" xfId="0" applyFont="1" applyFill="1" applyBorder="1" applyAlignment="1">
      <alignment horizontal="center" vertical="center" wrapText="1"/>
    </xf>
    <xf numFmtId="0" fontId="27" fillId="35" borderId="38" xfId="0" applyFont="1" applyFill="1" applyBorder="1" applyAlignment="1">
      <alignment horizontal="left" vertical="center"/>
    </xf>
    <xf numFmtId="0" fontId="27" fillId="35" borderId="33" xfId="0" applyFont="1" applyFill="1" applyBorder="1" applyAlignment="1">
      <alignment horizontal="left" vertical="center"/>
    </xf>
    <xf numFmtId="0" fontId="27" fillId="35" borderId="34" xfId="0" applyFont="1" applyFill="1" applyBorder="1" applyAlignment="1">
      <alignment horizontal="left" vertical="center"/>
    </xf>
    <xf numFmtId="0" fontId="27" fillId="35" borderId="11" xfId="0" applyFont="1" applyFill="1" applyBorder="1" applyAlignment="1">
      <alignment horizontal="left" vertical="center"/>
    </xf>
    <xf numFmtId="0" fontId="27" fillId="35" borderId="10" xfId="0" applyFont="1" applyFill="1" applyBorder="1" applyAlignment="1">
      <alignment horizontal="left" vertical="center"/>
    </xf>
    <xf numFmtId="0" fontId="27" fillId="35" borderId="17" xfId="0" applyFont="1" applyFill="1" applyBorder="1" applyAlignment="1">
      <alignment horizontal="left" vertical="center"/>
    </xf>
    <xf numFmtId="0" fontId="17" fillId="0" borderId="1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3"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1" fillId="0" borderId="43" xfId="0" applyFont="1" applyBorder="1" applyAlignment="1">
      <alignment horizontal="center" vertical="center" wrapText="1"/>
    </xf>
    <xf numFmtId="0" fontId="0" fillId="0" borderId="33" xfId="0" applyBorder="1" applyAlignment="1">
      <alignment/>
    </xf>
    <xf numFmtId="0" fontId="17" fillId="35" borderId="13" xfId="0" applyFont="1" applyFill="1" applyBorder="1" applyAlignment="1">
      <alignment horizontal="left" vertical="center" wrapText="1"/>
    </xf>
    <xf numFmtId="0" fontId="17" fillId="0" borderId="96" xfId="0" applyFont="1" applyFill="1" applyBorder="1" applyAlignment="1">
      <alignment horizontal="center" vertical="center" wrapText="1"/>
    </xf>
    <xf numFmtId="0" fontId="17" fillId="0" borderId="90" xfId="0" applyFont="1" applyFill="1" applyBorder="1" applyAlignment="1">
      <alignment horizontal="center" vertical="center" wrapText="1"/>
    </xf>
    <xf numFmtId="0" fontId="17" fillId="0" borderId="43" xfId="0" applyFont="1" applyFill="1" applyBorder="1" applyAlignment="1">
      <alignment horizontal="left" vertical="center" wrapText="1"/>
    </xf>
    <xf numFmtId="0" fontId="12" fillId="0" borderId="54" xfId="0" applyFont="1" applyFill="1" applyBorder="1" applyAlignment="1">
      <alignment horizontal="center" vertical="center" wrapText="1"/>
    </xf>
    <xf numFmtId="0" fontId="12" fillId="0" borderId="89"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76" xfId="0" applyFont="1" applyFill="1" applyBorder="1" applyAlignment="1">
      <alignment horizontal="left" vertical="center" wrapText="1"/>
    </xf>
    <xf numFmtId="0" fontId="12" fillId="0" borderId="96" xfId="0" applyFont="1" applyFill="1" applyBorder="1" applyAlignment="1">
      <alignment horizontal="left" vertical="center" wrapText="1"/>
    </xf>
    <xf numFmtId="0" fontId="12" fillId="0" borderId="90" xfId="0" applyFont="1" applyFill="1" applyBorder="1" applyAlignment="1">
      <alignment horizontal="left" vertical="center" wrapText="1"/>
    </xf>
    <xf numFmtId="0" fontId="17" fillId="0" borderId="54" xfId="0" applyFont="1" applyFill="1" applyBorder="1" applyAlignment="1">
      <alignment horizontal="center" vertical="center" wrapText="1"/>
    </xf>
    <xf numFmtId="0" fontId="17" fillId="0" borderId="89"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76" xfId="0" applyFont="1" applyFill="1" applyBorder="1" applyAlignment="1">
      <alignment horizontal="left" vertical="center" wrapText="1"/>
    </xf>
    <xf numFmtId="0" fontId="17" fillId="0" borderId="96" xfId="0" applyFont="1" applyFill="1" applyBorder="1" applyAlignment="1">
      <alignment horizontal="left" vertical="center" wrapText="1"/>
    </xf>
    <xf numFmtId="0" fontId="17" fillId="0" borderId="136" xfId="0" applyFont="1" applyFill="1" applyBorder="1" applyAlignment="1">
      <alignment horizontal="center" vertical="center" wrapText="1"/>
    </xf>
    <xf numFmtId="0" fontId="17" fillId="0" borderId="138" xfId="0" applyFont="1" applyFill="1" applyBorder="1" applyAlignment="1">
      <alignment horizontal="center" vertical="center" wrapText="1"/>
    </xf>
    <xf numFmtId="0" fontId="17" fillId="0" borderId="95" xfId="0" applyFont="1" applyFill="1" applyBorder="1" applyAlignment="1">
      <alignment horizontal="center" vertical="center" wrapText="1"/>
    </xf>
    <xf numFmtId="0" fontId="17" fillId="0" borderId="125"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78" xfId="0" applyFont="1" applyFill="1" applyBorder="1" applyAlignment="1">
      <alignment horizontal="left" vertical="center" wrapText="1"/>
    </xf>
    <xf numFmtId="0" fontId="8" fillId="0" borderId="76" xfId="0" applyFont="1" applyFill="1" applyBorder="1" applyAlignment="1">
      <alignment horizontal="left" vertical="center" wrapText="1"/>
    </xf>
    <xf numFmtId="0" fontId="12" fillId="35" borderId="139" xfId="0" applyFont="1" applyFill="1" applyBorder="1" applyAlignment="1">
      <alignment horizontal="center"/>
    </xf>
    <xf numFmtId="0" fontId="12" fillId="35" borderId="95" xfId="0" applyFont="1" applyFill="1" applyBorder="1" applyAlignment="1">
      <alignment horizontal="center"/>
    </xf>
    <xf numFmtId="0" fontId="12" fillId="33" borderId="13" xfId="0" applyFont="1" applyFill="1" applyBorder="1" applyAlignment="1">
      <alignment horizontal="center"/>
    </xf>
    <xf numFmtId="0" fontId="12" fillId="33" borderId="33" xfId="0" applyFont="1" applyFill="1" applyBorder="1" applyAlignment="1">
      <alignment horizontal="center"/>
    </xf>
    <xf numFmtId="0" fontId="12" fillId="33" borderId="34" xfId="0" applyFont="1" applyFill="1" applyBorder="1" applyAlignment="1">
      <alignment horizontal="center"/>
    </xf>
    <xf numFmtId="0" fontId="8" fillId="0" borderId="10" xfId="0" applyFont="1" applyFill="1" applyBorder="1" applyAlignment="1">
      <alignment horizontal="left" vertical="center"/>
    </xf>
    <xf numFmtId="0" fontId="12" fillId="33" borderId="14" xfId="0" applyFont="1" applyFill="1" applyBorder="1" applyAlignment="1">
      <alignment horizontal="center"/>
    </xf>
    <xf numFmtId="0" fontId="12" fillId="33" borderId="136" xfId="0" applyFont="1" applyFill="1" applyBorder="1" applyAlignment="1">
      <alignment horizontal="left" vertical="center" indent="1"/>
    </xf>
    <xf numFmtId="0" fontId="12" fillId="33" borderId="140" xfId="0" applyFont="1" applyFill="1" applyBorder="1" applyAlignment="1">
      <alignment horizontal="left" vertical="center" indent="1"/>
    </xf>
    <xf numFmtId="0" fontId="8" fillId="0" borderId="23" xfId="0" applyFont="1" applyFill="1" applyBorder="1" applyAlignment="1">
      <alignment horizontal="left" vertical="center"/>
    </xf>
    <xf numFmtId="0" fontId="27" fillId="33" borderId="40" xfId="0" applyFont="1" applyFill="1" applyBorder="1" applyAlignment="1">
      <alignment horizontal="center" vertical="top" wrapText="1"/>
    </xf>
    <xf numFmtId="0" fontId="27" fillId="33" borderId="53" xfId="0" applyFont="1" applyFill="1" applyBorder="1" applyAlignment="1">
      <alignment horizontal="center" vertical="top" wrapText="1"/>
    </xf>
    <xf numFmtId="0" fontId="27" fillId="33" borderId="42" xfId="0" applyFont="1" applyFill="1" applyBorder="1" applyAlignment="1">
      <alignment horizontal="center" vertical="top" wrapText="1"/>
    </xf>
    <xf numFmtId="0" fontId="27" fillId="33" borderId="38" xfId="0" applyFont="1" applyFill="1" applyBorder="1" applyAlignment="1">
      <alignment horizontal="center" vertical="top" wrapText="1"/>
    </xf>
    <xf numFmtId="0" fontId="27" fillId="33" borderId="52" xfId="0" applyFont="1" applyFill="1" applyBorder="1" applyAlignment="1">
      <alignment horizontal="center" vertical="top" wrapText="1"/>
    </xf>
    <xf numFmtId="0" fontId="27" fillId="33" borderId="67" xfId="0" applyFont="1" applyFill="1" applyBorder="1" applyAlignment="1">
      <alignment horizontal="center" vertical="top" wrapText="1"/>
    </xf>
    <xf numFmtId="3" fontId="10" fillId="0" borderId="35" xfId="0" applyNumberFormat="1" applyFont="1" applyFill="1" applyBorder="1" applyAlignment="1">
      <alignment horizontal="center"/>
    </xf>
    <xf numFmtId="3" fontId="10" fillId="0" borderId="28" xfId="0" applyNumberFormat="1" applyFont="1" applyFill="1" applyBorder="1" applyAlignment="1">
      <alignment horizontal="center"/>
    </xf>
    <xf numFmtId="0" fontId="10" fillId="0" borderId="11" xfId="0" applyFont="1" applyBorder="1" applyAlignment="1">
      <alignment horizontal="left" vertical="top"/>
    </xf>
    <xf numFmtId="0" fontId="10" fillId="0" borderId="10" xfId="0" applyFont="1" applyBorder="1" applyAlignment="1">
      <alignment horizontal="left" vertical="top"/>
    </xf>
    <xf numFmtId="0" fontId="10" fillId="0" borderId="17" xfId="0" applyFont="1" applyBorder="1" applyAlignment="1">
      <alignment horizontal="left" vertical="top"/>
    </xf>
    <xf numFmtId="0" fontId="10" fillId="0" borderId="12" xfId="0" applyFont="1" applyBorder="1" applyAlignment="1">
      <alignment horizontal="left" vertical="top"/>
    </xf>
    <xf numFmtId="0" fontId="10" fillId="0" borderId="18" xfId="0" applyFont="1" applyBorder="1" applyAlignment="1">
      <alignment horizontal="left" vertical="top"/>
    </xf>
    <xf numFmtId="0" fontId="10" fillId="0" borderId="19" xfId="0" applyFont="1" applyBorder="1" applyAlignment="1">
      <alignment horizontal="left" vertical="top"/>
    </xf>
    <xf numFmtId="0" fontId="26" fillId="33" borderId="125" xfId="0" applyFont="1" applyFill="1" applyBorder="1" applyAlignment="1">
      <alignment horizontal="left" vertical="center"/>
    </xf>
    <xf numFmtId="0" fontId="26" fillId="33" borderId="13" xfId="0" applyFont="1" applyFill="1" applyBorder="1" applyAlignment="1">
      <alignment horizontal="left" vertical="center"/>
    </xf>
    <xf numFmtId="0" fontId="26" fillId="33" borderId="14" xfId="0" applyFont="1" applyFill="1" applyBorder="1" applyAlignment="1">
      <alignment horizontal="left" vertical="center"/>
    </xf>
    <xf numFmtId="0" fontId="27" fillId="33" borderId="11" xfId="0" applyFont="1" applyFill="1" applyBorder="1" applyAlignment="1">
      <alignment horizontal="center" vertical="center" wrapText="1"/>
    </xf>
    <xf numFmtId="8" fontId="112" fillId="33" borderId="10" xfId="0" applyNumberFormat="1" applyFont="1" applyFill="1" applyBorder="1" applyAlignment="1">
      <alignment horizontal="center"/>
    </xf>
    <xf numFmtId="0" fontId="27" fillId="33" borderId="10" xfId="0" applyFont="1" applyFill="1" applyBorder="1" applyAlignment="1">
      <alignment horizontal="center" wrapText="1"/>
    </xf>
    <xf numFmtId="0" fontId="27" fillId="33" borderId="17" xfId="0" applyFont="1" applyFill="1" applyBorder="1" applyAlignment="1">
      <alignment horizontal="center" wrapText="1"/>
    </xf>
    <xf numFmtId="0" fontId="12" fillId="0" borderId="40" xfId="44" applyFont="1" applyBorder="1" applyAlignment="1">
      <alignment horizontal="center" vertical="center"/>
      <protection/>
    </xf>
    <xf numFmtId="0" fontId="12" fillId="0" borderId="52" xfId="44" applyFont="1" applyBorder="1" applyAlignment="1">
      <alignment horizontal="center" vertical="center"/>
      <protection/>
    </xf>
    <xf numFmtId="0" fontId="12" fillId="0" borderId="67" xfId="44" applyFont="1" applyBorder="1" applyAlignment="1">
      <alignment horizontal="center" vertical="center"/>
      <protection/>
    </xf>
    <xf numFmtId="0" fontId="12" fillId="0" borderId="123" xfId="44" applyFont="1" applyBorder="1" applyAlignment="1">
      <alignment horizontal="center" vertical="center"/>
      <protection/>
    </xf>
    <xf numFmtId="0" fontId="12" fillId="0" borderId="102" xfId="44" applyFont="1" applyBorder="1" applyAlignment="1">
      <alignment horizontal="center" vertical="center"/>
      <protection/>
    </xf>
    <xf numFmtId="0" fontId="12" fillId="0" borderId="141" xfId="44" applyFont="1" applyBorder="1" applyAlignment="1">
      <alignment horizontal="center" vertical="center"/>
      <protection/>
    </xf>
    <xf numFmtId="0" fontId="12" fillId="0" borderId="142" xfId="44" applyFont="1" applyBorder="1" applyAlignment="1">
      <alignment horizontal="center" vertical="center"/>
      <protection/>
    </xf>
    <xf numFmtId="0" fontId="21" fillId="0" borderId="136" xfId="44" applyFont="1" applyBorder="1" applyAlignment="1">
      <alignment horizontal="center" vertical="center"/>
      <protection/>
    </xf>
    <xf numFmtId="0" fontId="21" fillId="0" borderId="138" xfId="44" applyFont="1" applyBorder="1" applyAlignment="1">
      <alignment horizontal="center" vertical="center"/>
      <protection/>
    </xf>
    <xf numFmtId="0" fontId="21" fillId="0" borderId="95" xfId="44" applyFont="1" applyBorder="1" applyAlignment="1">
      <alignment horizontal="center" vertical="center"/>
      <protection/>
    </xf>
    <xf numFmtId="0" fontId="17" fillId="0" borderId="143" xfId="44" applyFont="1" applyBorder="1" applyAlignment="1">
      <alignment horizontal="center" vertical="center"/>
      <protection/>
    </xf>
    <xf numFmtId="0" fontId="17" fillId="0" borderId="144" xfId="44" applyFont="1" applyBorder="1" applyAlignment="1">
      <alignment horizontal="center" vertical="center"/>
      <protection/>
    </xf>
    <xf numFmtId="0" fontId="17" fillId="0" borderId="145" xfId="44" applyFont="1" applyBorder="1" applyAlignment="1">
      <alignment horizontal="center" vertical="center"/>
      <protection/>
    </xf>
    <xf numFmtId="0" fontId="17" fillId="0" borderId="146" xfId="44" applyFont="1" applyBorder="1" applyAlignment="1">
      <alignment horizontal="center" vertical="top" wrapText="1"/>
      <protection/>
    </xf>
    <xf numFmtId="0" fontId="17" fillId="0" borderId="103" xfId="44" applyFont="1" applyBorder="1" applyAlignment="1">
      <alignment horizontal="center" vertical="top"/>
      <protection/>
    </xf>
    <xf numFmtId="0" fontId="17" fillId="0" borderId="147" xfId="44" applyFont="1" applyBorder="1" applyAlignment="1">
      <alignment horizontal="center" vertical="top"/>
      <protection/>
    </xf>
    <xf numFmtId="0" fontId="12" fillId="0" borderId="115" xfId="44" applyFont="1" applyBorder="1" applyAlignment="1">
      <alignment horizontal="center" vertical="center"/>
      <protection/>
    </xf>
    <xf numFmtId="0" fontId="12" fillId="0" borderId="98" xfId="44" applyFont="1" applyBorder="1" applyAlignment="1">
      <alignment horizontal="center" vertical="center"/>
      <protection/>
    </xf>
    <xf numFmtId="165" fontId="39" fillId="0" borderId="122" xfId="66" applyNumberFormat="1" applyFont="1" applyBorder="1" applyAlignment="1">
      <alignment horizontal="center" vertical="center"/>
    </xf>
    <xf numFmtId="165" fontId="39" fillId="0" borderId="148" xfId="66" applyNumberFormat="1" applyFont="1" applyBorder="1" applyAlignment="1">
      <alignment horizontal="center" vertical="center"/>
    </xf>
    <xf numFmtId="165" fontId="39" fillId="0" borderId="149" xfId="66" applyNumberFormat="1" applyFont="1" applyBorder="1" applyAlignment="1">
      <alignment horizontal="center" vertical="center"/>
    </xf>
    <xf numFmtId="9" fontId="14" fillId="0" borderId="105" xfId="53" applyFont="1" applyBorder="1" applyAlignment="1">
      <alignment horizontal="center" vertical="center"/>
    </xf>
    <xf numFmtId="9" fontId="14" fillId="0" borderId="150" xfId="53" applyFont="1" applyBorder="1" applyAlignment="1">
      <alignment horizontal="center" vertical="center"/>
    </xf>
    <xf numFmtId="9" fontId="14" fillId="0" borderId="123" xfId="53" applyFont="1" applyBorder="1" applyAlignment="1">
      <alignment horizontal="center" vertical="center"/>
    </xf>
    <xf numFmtId="0" fontId="21" fillId="0" borderId="0" xfId="44" applyFont="1" applyBorder="1" applyAlignment="1">
      <alignment horizontal="center" vertical="center"/>
      <protection/>
    </xf>
    <xf numFmtId="0" fontId="17" fillId="0" borderId="151" xfId="44" applyFont="1" applyBorder="1" applyAlignment="1">
      <alignment horizontal="center" vertical="center"/>
      <protection/>
    </xf>
    <xf numFmtId="0" fontId="17" fillId="0" borderId="152" xfId="44" applyFont="1" applyBorder="1" applyAlignment="1">
      <alignment horizontal="center" vertical="center"/>
      <protection/>
    </xf>
    <xf numFmtId="0" fontId="17" fillId="0" borderId="153" xfId="44" applyFont="1" applyBorder="1" applyAlignment="1">
      <alignment horizontal="center" vertical="center"/>
      <protection/>
    </xf>
    <xf numFmtId="0" fontId="12" fillId="0" borderId="101" xfId="44" applyFont="1" applyBorder="1" applyAlignment="1">
      <alignment horizontal="center" vertical="center"/>
      <protection/>
    </xf>
    <xf numFmtId="0" fontId="17" fillId="0" borderId="154" xfId="44" applyFont="1" applyBorder="1" applyAlignment="1">
      <alignment horizontal="center" vertical="center" wrapText="1"/>
      <protection/>
    </xf>
    <xf numFmtId="0" fontId="17" fillId="0" borderId="155" xfId="44" applyFont="1" applyBorder="1" applyAlignment="1">
      <alignment horizontal="center" vertical="center" wrapText="1"/>
      <protection/>
    </xf>
    <xf numFmtId="0" fontId="17" fillId="0" borderId="156" xfId="44" applyFont="1" applyBorder="1" applyAlignment="1">
      <alignment horizontal="center" vertical="center" wrapText="1"/>
      <protection/>
    </xf>
    <xf numFmtId="0" fontId="17" fillId="0" borderId="97" xfId="44" applyFont="1" applyBorder="1" applyAlignment="1">
      <alignment horizontal="center" vertical="top"/>
      <protection/>
    </xf>
    <xf numFmtId="0" fontId="17" fillId="0" borderId="157" xfId="44" applyFont="1" applyBorder="1" applyAlignment="1">
      <alignment horizontal="center" vertical="top"/>
      <protection/>
    </xf>
    <xf numFmtId="0" fontId="27" fillId="0" borderId="22"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17" fillId="0" borderId="0" xfId="44" applyFont="1" applyBorder="1" applyAlignment="1">
      <alignment/>
      <protection/>
    </xf>
    <xf numFmtId="0" fontId="0" fillId="0" borderId="0" xfId="51" applyFont="1" applyAlignment="1">
      <alignment/>
      <protection/>
    </xf>
    <xf numFmtId="0" fontId="12" fillId="0" borderId="103" xfId="44" applyFont="1" applyBorder="1" applyAlignment="1">
      <alignment horizontal="center" vertical="center"/>
      <protection/>
    </xf>
    <xf numFmtId="0" fontId="12" fillId="0" borderId="120" xfId="44" applyFont="1" applyBorder="1" applyAlignment="1">
      <alignment horizontal="center" vertical="center"/>
      <protection/>
    </xf>
    <xf numFmtId="0" fontId="12" fillId="0" borderId="108" xfId="44" applyFont="1" applyBorder="1" applyAlignment="1">
      <alignment horizontal="center" vertical="center"/>
      <protection/>
    </xf>
    <xf numFmtId="0" fontId="12" fillId="0" borderId="113" xfId="44" applyFont="1" applyBorder="1" applyAlignment="1">
      <alignment horizontal="center" vertical="center"/>
      <protection/>
    </xf>
    <xf numFmtId="0" fontId="12" fillId="0" borderId="109" xfId="44" applyFont="1" applyBorder="1" applyAlignment="1">
      <alignment horizontal="center" vertical="center"/>
      <protection/>
    </xf>
    <xf numFmtId="0" fontId="12" fillId="0" borderId="110" xfId="44" applyFont="1" applyBorder="1" applyAlignment="1">
      <alignment horizontal="center" vertical="center"/>
      <protection/>
    </xf>
    <xf numFmtId="0" fontId="50" fillId="0" borderId="158" xfId="44" applyFont="1" applyBorder="1" applyAlignment="1">
      <alignment vertical="top" wrapText="1"/>
      <protection/>
    </xf>
    <xf numFmtId="0" fontId="17" fillId="0" borderId="159" xfId="44" applyFont="1" applyBorder="1" applyAlignment="1">
      <alignment vertical="top" wrapText="1"/>
      <protection/>
    </xf>
    <xf numFmtId="165" fontId="14" fillId="34" borderId="160" xfId="66" applyNumberFormat="1" applyFont="1" applyFill="1" applyBorder="1" applyAlignment="1">
      <alignment horizontal="center" vertical="center"/>
    </xf>
    <xf numFmtId="165" fontId="14" fillId="34" borderId="161" xfId="66" applyNumberFormat="1" applyFont="1" applyFill="1" applyBorder="1" applyAlignment="1">
      <alignment horizontal="center" vertical="center"/>
    </xf>
    <xf numFmtId="165" fontId="14" fillId="34" borderId="162" xfId="66" applyNumberFormat="1" applyFont="1" applyFill="1" applyBorder="1" applyAlignment="1">
      <alignment horizontal="center" vertical="center"/>
    </xf>
    <xf numFmtId="9" fontId="14" fillId="34" borderId="105" xfId="53" applyFont="1" applyFill="1" applyBorder="1" applyAlignment="1">
      <alignment horizontal="center" vertical="center"/>
    </xf>
    <xf numFmtId="9" fontId="14" fillId="34" borderId="150" xfId="53" applyFont="1" applyFill="1" applyBorder="1" applyAlignment="1">
      <alignment horizontal="center" vertical="center"/>
    </xf>
    <xf numFmtId="9" fontId="14" fillId="34" borderId="123" xfId="53" applyFont="1" applyFill="1" applyBorder="1" applyAlignment="1">
      <alignment horizontal="center" vertical="center"/>
    </xf>
    <xf numFmtId="0" fontId="27" fillId="0" borderId="136" xfId="0" applyFont="1" applyFill="1" applyBorder="1" applyAlignment="1">
      <alignment horizontal="center" vertical="center" wrapText="1"/>
    </xf>
    <xf numFmtId="0" fontId="27" fillId="0" borderId="138" xfId="0" applyFont="1" applyFill="1" applyBorder="1" applyAlignment="1">
      <alignment horizontal="center" vertical="center" wrapText="1"/>
    </xf>
    <xf numFmtId="0" fontId="27" fillId="0" borderId="95" xfId="0" applyFont="1" applyFill="1" applyBorder="1" applyAlignment="1">
      <alignment horizontal="center" vertical="center" wrapText="1"/>
    </xf>
    <xf numFmtId="0" fontId="39" fillId="0" borderId="163" xfId="44" applyFont="1" applyBorder="1" applyAlignment="1">
      <alignment horizontal="justify" vertical="center" wrapText="1"/>
      <protection/>
    </xf>
    <xf numFmtId="0" fontId="0" fillId="0" borderId="123" xfId="0" applyBorder="1" applyAlignment="1">
      <alignment horizontal="justify"/>
    </xf>
    <xf numFmtId="0" fontId="39" fillId="0" borderId="164" xfId="44" applyFont="1" applyBorder="1" applyAlignment="1">
      <alignment horizontal="justify" vertical="center" wrapText="1"/>
      <protection/>
    </xf>
    <xf numFmtId="0" fontId="39" fillId="0" borderId="165" xfId="44" applyFont="1" applyBorder="1" applyAlignment="1">
      <alignment horizontal="justify" vertical="center" wrapText="1"/>
      <protection/>
    </xf>
    <xf numFmtId="0" fontId="39" fillId="0" borderId="166" xfId="44" applyFont="1" applyBorder="1" applyAlignment="1">
      <alignment horizontal="justify" vertical="center" wrapText="1"/>
      <protection/>
    </xf>
    <xf numFmtId="0" fontId="8" fillId="35" borderId="125" xfId="0" applyFont="1" applyFill="1" applyBorder="1" applyAlignment="1">
      <alignment horizontal="left" vertical="center" wrapText="1"/>
    </xf>
    <xf numFmtId="0" fontId="8" fillId="35" borderId="13" xfId="0" applyFont="1" applyFill="1" applyBorder="1" applyAlignment="1">
      <alignment horizontal="left" vertical="center" wrapText="1"/>
    </xf>
    <xf numFmtId="0" fontId="8" fillId="35" borderId="14" xfId="0" applyFont="1" applyFill="1" applyBorder="1" applyAlignment="1">
      <alignment horizontal="left" vertical="center" wrapText="1"/>
    </xf>
    <xf numFmtId="0" fontId="8" fillId="0" borderId="126" xfId="0" applyFont="1" applyFill="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25" fillId="0" borderId="23" xfId="0" applyFont="1" applyBorder="1" applyAlignment="1">
      <alignment vertical="center" wrapText="1"/>
    </xf>
    <xf numFmtId="0" fontId="25" fillId="0" borderId="24" xfId="0" applyFont="1" applyBorder="1" applyAlignment="1">
      <alignment vertical="center" wrapText="1"/>
    </xf>
    <xf numFmtId="0" fontId="25" fillId="0" borderId="25" xfId="0" applyFont="1" applyBorder="1" applyAlignment="1">
      <alignment vertical="center" wrapText="1"/>
    </xf>
    <xf numFmtId="0" fontId="25" fillId="0" borderId="136" xfId="0" applyFont="1" applyBorder="1" applyAlignment="1">
      <alignment vertical="center" wrapText="1"/>
    </xf>
    <xf numFmtId="0" fontId="25" fillId="0" borderId="138" xfId="0" applyFont="1" applyBorder="1" applyAlignment="1">
      <alignment vertical="center" wrapText="1"/>
    </xf>
    <xf numFmtId="0" fontId="25" fillId="0" borderId="95" xfId="0" applyFont="1" applyBorder="1" applyAlignment="1">
      <alignment vertical="center" wrapText="1"/>
    </xf>
    <xf numFmtId="0" fontId="121" fillId="0" borderId="136" xfId="0" applyFont="1" applyBorder="1" applyAlignment="1">
      <alignment vertical="center" wrapText="1"/>
    </xf>
    <xf numFmtId="0" fontId="121" fillId="0" borderId="138" xfId="0" applyFont="1" applyBorder="1" applyAlignment="1">
      <alignment vertical="center" wrapText="1"/>
    </xf>
    <xf numFmtId="0" fontId="121" fillId="0" borderId="95" xfId="0" applyFont="1" applyBorder="1" applyAlignment="1">
      <alignment vertical="center" wrapText="1"/>
    </xf>
    <xf numFmtId="0" fontId="25" fillId="0" borderId="20" xfId="0" applyFont="1" applyBorder="1" applyAlignment="1">
      <alignment vertical="center" wrapText="1"/>
    </xf>
    <xf numFmtId="0" fontId="25" fillId="0" borderId="21" xfId="0" applyFont="1" applyBorder="1" applyAlignment="1">
      <alignment vertical="center" wrapText="1"/>
    </xf>
    <xf numFmtId="0" fontId="25" fillId="0" borderId="22" xfId="0" applyFont="1" applyBorder="1" applyAlignment="1">
      <alignment vertical="center" wrapText="1"/>
    </xf>
    <xf numFmtId="0" fontId="25" fillId="0" borderId="15" xfId="0" applyFont="1" applyBorder="1" applyAlignment="1">
      <alignment vertical="center" wrapText="1"/>
    </xf>
    <xf numFmtId="0" fontId="25" fillId="0" borderId="0" xfId="0" applyFont="1" applyBorder="1" applyAlignment="1">
      <alignment vertical="center" wrapText="1"/>
    </xf>
    <xf numFmtId="0" fontId="25" fillId="0" borderId="16" xfId="0" applyFont="1" applyBorder="1" applyAlignment="1">
      <alignment vertical="center" wrapText="1"/>
    </xf>
    <xf numFmtId="0" fontId="25" fillId="0" borderId="51" xfId="0" applyFont="1" applyBorder="1" applyAlignment="1">
      <alignment vertical="center" wrapText="1"/>
    </xf>
    <xf numFmtId="0" fontId="25" fillId="0" borderId="27" xfId="0" applyFont="1" applyBorder="1" applyAlignment="1">
      <alignment vertical="center" wrapText="1"/>
    </xf>
    <xf numFmtId="0" fontId="25" fillId="0" borderId="48" xfId="0" applyFont="1" applyBorder="1" applyAlignment="1">
      <alignment vertical="center" wrapText="1"/>
    </xf>
    <xf numFmtId="0" fontId="25" fillId="0" borderId="136" xfId="0" applyFont="1" applyBorder="1" applyAlignment="1">
      <alignment horizontal="justify" vertical="center" wrapText="1"/>
    </xf>
    <xf numFmtId="0" fontId="25" fillId="0" borderId="138" xfId="0" applyFont="1" applyBorder="1" applyAlignment="1">
      <alignment horizontal="justify" vertical="center" wrapText="1"/>
    </xf>
    <xf numFmtId="0" fontId="25" fillId="0" borderId="95" xfId="0" applyFont="1" applyBorder="1" applyAlignment="1">
      <alignment horizontal="justify" vertical="center" wrapText="1"/>
    </xf>
    <xf numFmtId="0" fontId="25" fillId="0" borderId="15" xfId="0" applyFont="1" applyBorder="1" applyAlignment="1">
      <alignment horizontal="left" vertical="center" wrapText="1" indent="1"/>
    </xf>
    <xf numFmtId="0" fontId="25" fillId="0" borderId="0" xfId="0" applyFont="1" applyBorder="1" applyAlignment="1">
      <alignment horizontal="left" vertical="center" wrapText="1" indent="1"/>
    </xf>
    <xf numFmtId="0" fontId="25" fillId="0" borderId="16" xfId="0" applyFont="1" applyBorder="1" applyAlignment="1">
      <alignment horizontal="left" vertical="center" wrapText="1" indent="1"/>
    </xf>
    <xf numFmtId="0" fontId="25" fillId="0" borderId="51" xfId="0" applyFont="1" applyBorder="1" applyAlignment="1">
      <alignment horizontal="left" vertical="center" wrapText="1" indent="1"/>
    </xf>
    <xf numFmtId="0" fontId="25" fillId="0" borderId="27" xfId="0" applyFont="1" applyBorder="1" applyAlignment="1">
      <alignment horizontal="left" vertical="center" wrapText="1" indent="1"/>
    </xf>
    <xf numFmtId="0" fontId="25" fillId="0" borderId="48" xfId="0" applyFont="1" applyBorder="1" applyAlignment="1">
      <alignment horizontal="left" vertical="center" wrapText="1" indent="1"/>
    </xf>
    <xf numFmtId="0" fontId="27" fillId="0" borderId="134" xfId="0" applyFont="1" applyFill="1" applyBorder="1" applyAlignment="1">
      <alignment horizontal="center" vertical="center" wrapText="1"/>
    </xf>
    <xf numFmtId="0" fontId="27" fillId="0" borderId="58"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8" fillId="0" borderId="54" xfId="0" applyFont="1" applyFill="1" applyBorder="1" applyAlignment="1">
      <alignment horizontal="left" vertical="center" wrapText="1"/>
    </xf>
    <xf numFmtId="0" fontId="8" fillId="0" borderId="76" xfId="0" applyFont="1" applyFill="1" applyBorder="1" applyAlignment="1">
      <alignment horizontal="left" vertical="center" wrapText="1"/>
    </xf>
    <xf numFmtId="0" fontId="8" fillId="0" borderId="137"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27" fillId="33" borderId="43" xfId="0" applyFont="1" applyFill="1" applyBorder="1" applyAlignment="1">
      <alignment horizontal="center" vertical="center" wrapText="1"/>
    </xf>
    <xf numFmtId="0" fontId="27" fillId="33" borderId="33" xfId="0" applyFont="1" applyFill="1" applyBorder="1" applyAlignment="1">
      <alignment horizontal="center" vertical="center" wrapText="1"/>
    </xf>
    <xf numFmtId="0" fontId="12" fillId="47" borderId="10" xfId="0" applyFont="1" applyFill="1" applyBorder="1" applyAlignment="1">
      <alignment vertical="center" wrapText="1"/>
    </xf>
    <xf numFmtId="0" fontId="12" fillId="48" borderId="10" xfId="0" applyFont="1" applyFill="1" applyBorder="1" applyAlignment="1">
      <alignment vertical="center" wrapText="1"/>
    </xf>
    <xf numFmtId="0" fontId="12" fillId="0" borderId="10" xfId="0" applyFont="1" applyBorder="1" applyAlignment="1">
      <alignment vertical="center" wrapText="1"/>
    </xf>
    <xf numFmtId="0" fontId="8" fillId="0" borderId="35"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11" fillId="0" borderId="10" xfId="0" applyFont="1" applyBorder="1" applyAlignment="1">
      <alignment vertical="center" wrapText="1"/>
    </xf>
    <xf numFmtId="0" fontId="11" fillId="0" borderId="10" xfId="0" applyFont="1" applyBorder="1" applyAlignment="1">
      <alignment horizontal="center" vertical="center" wrapText="1"/>
    </xf>
    <xf numFmtId="0" fontId="114" fillId="0" borderId="10" xfId="0" applyFont="1" applyBorder="1" applyAlignment="1">
      <alignment vertical="center" wrapText="1"/>
    </xf>
    <xf numFmtId="0" fontId="11" fillId="0" borderId="10" xfId="0" applyFont="1" applyBorder="1" applyAlignment="1">
      <alignment horizontal="left" vertical="center" wrapText="1"/>
    </xf>
    <xf numFmtId="0" fontId="12" fillId="44" borderId="10" xfId="0" applyFont="1" applyFill="1" applyBorder="1" applyAlignment="1">
      <alignment horizontal="center" vertical="center" wrapText="1"/>
    </xf>
    <xf numFmtId="0" fontId="8" fillId="0" borderId="37" xfId="0" applyFont="1" applyBorder="1" applyAlignment="1">
      <alignment horizontal="left" vertical="center"/>
    </xf>
    <xf numFmtId="0" fontId="12" fillId="0" borderId="43" xfId="0" applyFont="1" applyBorder="1" applyAlignment="1">
      <alignment vertical="center" wrapText="1"/>
    </xf>
    <xf numFmtId="0" fontId="12" fillId="47" borderId="33" xfId="0" applyFont="1" applyFill="1" applyBorder="1" applyAlignment="1">
      <alignment vertical="center" wrapText="1"/>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12" fillId="44" borderId="33" xfId="0" applyFont="1" applyFill="1" applyBorder="1" applyAlignment="1">
      <alignment horizontal="center" vertical="center" wrapText="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Normal" xfId="44"/>
    <cellStyle name="Hyperlink" xfId="45"/>
    <cellStyle name="Followed Hyperlink" xfId="46"/>
    <cellStyle name="Incorreto" xfId="47"/>
    <cellStyle name="Currency" xfId="48"/>
    <cellStyle name="Currency [0]" xfId="49"/>
    <cellStyle name="Neutra" xfId="50"/>
    <cellStyle name="Normal_PA Quadro Excel  NOV 2010" xfId="51"/>
    <cellStyle name="Nota" xfId="52"/>
    <cellStyle name="Percent" xfId="53"/>
    <cellStyle name="Porcentagem_PA Quadro Excel  NOV 2010" xfId="54"/>
    <cellStyle name="Saída" xfId="55"/>
    <cellStyle name="Comma [0]" xfId="56"/>
    <cellStyle name="Separador de milhares_PA Quadro Excel  NOV 201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67">
    <dxf>
      <font>
        <color rgb="FF9C6500"/>
      </font>
      <fill>
        <patternFill>
          <bgColor rgb="FFFFEB9C"/>
        </patternFill>
      </fill>
    </dxf>
    <dxf>
      <font>
        <color theme="9" tint="-0.24993999302387238"/>
      </font>
      <fill>
        <patternFill>
          <bgColor theme="9" tint="0.5999600291252136"/>
        </patternFill>
      </fill>
    </dxf>
    <dxf>
      <font>
        <color rgb="FF9C0006"/>
      </font>
      <fill>
        <patternFill>
          <bgColor rgb="FFFFC7CE"/>
        </patternFill>
      </fill>
    </dxf>
    <dxf>
      <font>
        <color rgb="FF9C6500"/>
      </font>
      <fill>
        <patternFill>
          <bgColor rgb="FFFFEB9C"/>
        </patternFill>
      </fill>
    </dxf>
    <dxf>
      <font>
        <color theme="9" tint="-0.24993999302387238"/>
      </font>
      <fill>
        <patternFill>
          <bgColor theme="9" tint="0.5999600291252136"/>
        </patternFill>
      </fill>
    </dxf>
    <dxf>
      <font>
        <color rgb="FF9C0006"/>
      </font>
      <fill>
        <patternFill>
          <bgColor rgb="FFFFC7CE"/>
        </patternFill>
      </fill>
    </dxf>
    <dxf>
      <font>
        <color indexed="10"/>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indexed="10"/>
      </font>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indexed="10"/>
      </font>
    </dxf>
    <dxf>
      <font>
        <color indexed="10"/>
      </font>
    </dxf>
    <dxf>
      <font>
        <color indexed="10"/>
      </font>
    </dxf>
    <dxf>
      <font>
        <color indexed="10"/>
      </font>
    </dxf>
    <dxf>
      <font>
        <color indexed="10"/>
      </font>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indexed="10"/>
      </font>
    </dxf>
    <dxf>
      <font>
        <color indexed="10"/>
      </font>
    </dxf>
    <dxf>
      <font>
        <color indexed="10"/>
      </font>
    </dxf>
    <dxf>
      <font>
        <color indexed="10"/>
      </font>
    </dxf>
    <dxf>
      <font>
        <color indexed="10"/>
      </font>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indexed="10"/>
      </font>
    </dxf>
    <dxf>
      <font>
        <color indexed="10"/>
      </font>
    </dxf>
    <dxf>
      <font>
        <color indexed="10"/>
      </font>
    </dxf>
    <dxf>
      <font>
        <color indexed="10"/>
      </font>
    </dxf>
    <dxf>
      <font>
        <color indexed="10"/>
      </font>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indexed="10"/>
      </font>
    </dxf>
    <dxf>
      <font>
        <color indexed="10"/>
      </font>
    </dxf>
    <dxf>
      <font>
        <color indexed="10"/>
      </font>
    </dxf>
    <dxf>
      <font>
        <color indexed="10"/>
      </font>
    </dxf>
    <dxf>
      <font>
        <color indexed="10"/>
      </font>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indexed="10"/>
      </font>
    </dxf>
    <dxf>
      <font>
        <color indexed="10"/>
      </font>
    </dxf>
    <dxf>
      <font>
        <color indexed="10"/>
      </font>
    </dxf>
    <dxf>
      <font>
        <color indexed="10"/>
      </font>
    </dxf>
    <dxf>
      <font>
        <color indexed="10"/>
      </font>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indexed="10"/>
      </font>
    </dxf>
    <dxf>
      <font>
        <color indexed="10"/>
      </font>
    </dxf>
    <dxf>
      <font>
        <color indexed="10"/>
      </font>
    </dxf>
    <dxf>
      <font>
        <color indexed="10"/>
      </font>
    </dxf>
    <dxf>
      <font>
        <color indexed="10"/>
      </font>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indexed="10"/>
      </font>
    </dxf>
    <dxf>
      <font>
        <color indexed="10"/>
      </font>
    </dxf>
    <dxf>
      <font>
        <color indexed="10"/>
      </font>
    </dxf>
    <dxf>
      <font>
        <color indexed="10"/>
      </font>
    </dxf>
    <dxf>
      <font>
        <color indexed="10"/>
      </font>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indexed="10"/>
      </font>
    </dxf>
    <dxf>
      <font>
        <color indexed="10"/>
      </font>
    </dxf>
    <dxf>
      <font>
        <color indexed="10"/>
      </font>
    </dxf>
    <dxf>
      <font>
        <color indexed="10"/>
      </font>
    </dxf>
    <dxf>
      <font>
        <color indexed="10"/>
      </font>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ill>
        <patternFill patternType="lightUp">
          <bgColor theme="0" tint="-0.14993000030517578"/>
        </patternFill>
      </fill>
    </dxf>
    <dxf>
      <fill>
        <patternFill patternType="lightUp">
          <bgColor theme="0" tint="-0.14993000030517578"/>
        </patternFill>
      </fill>
    </dxf>
    <dxf>
      <fill>
        <patternFill patternType="lightUp">
          <bgColor theme="0" tint="-0.14993000030517578"/>
        </patternFill>
      </fill>
    </dxf>
    <dxf>
      <fill>
        <patternFill patternType="lightUp">
          <bgColor theme="0" tint="-0.14993000030517578"/>
        </patternFill>
      </fill>
    </dxf>
    <dxf>
      <fill>
        <patternFill patternType="lightUp">
          <bgColor theme="0" tint="-0.14993000030517578"/>
        </patternFill>
      </fill>
    </dxf>
    <dxf>
      <fill>
        <patternFill patternType="lightUp">
          <bgColor theme="0" tint="-0.14993000030517578"/>
        </patternFill>
      </fill>
    </dxf>
    <dxf>
      <fill>
        <patternFill patternType="lightUp">
          <bgColor theme="0" tint="-0.14993000030517578"/>
        </patternFill>
      </fill>
    </dxf>
    <dxf>
      <fill>
        <patternFill patternType="lightUp">
          <bgColor theme="0" tint="-0.14993000030517578"/>
        </patternFill>
      </fill>
    </dxf>
    <dxf>
      <fill>
        <patternFill patternType="lightUp">
          <bgColor theme="0" tint="-0.14993000030517578"/>
        </patternFill>
      </fill>
    </dxf>
    <dxf>
      <fill>
        <patternFill patternType="lightUp">
          <bgColor theme="0" tint="-0.14993000030517578"/>
        </patternFill>
      </fill>
    </dxf>
    <dxf>
      <font>
        <color rgb="FF9C6500"/>
      </font>
      <fill>
        <patternFill>
          <bgColor rgb="FFFFEB9C"/>
        </patternFill>
      </fill>
    </dxf>
    <dxf>
      <font>
        <color theme="9" tint="-0.24993999302387238"/>
      </font>
      <fill>
        <patternFill>
          <bgColor theme="9" tint="0.5999600291252136"/>
        </patternFill>
      </fill>
    </dxf>
    <dxf>
      <font>
        <color rgb="FF9C0006"/>
      </font>
      <fill>
        <patternFill>
          <bgColor rgb="FFFFC7CE"/>
        </patternFill>
      </fill>
    </dxf>
    <dxf>
      <font>
        <color rgb="FF9C6500"/>
      </font>
      <fill>
        <patternFill>
          <bgColor rgb="FFFFEB9C"/>
        </patternFill>
      </fill>
    </dxf>
    <dxf>
      <font>
        <color theme="9" tint="-0.24993999302387238"/>
      </font>
      <fill>
        <patternFill>
          <bgColor theme="9" tint="0.5999600291252136"/>
        </patternFill>
      </fill>
    </dxf>
    <dxf>
      <font>
        <color rgb="FF9C0006"/>
      </font>
      <fill>
        <patternFill>
          <bgColor rgb="FFFFC7CE"/>
        </patternFill>
      </fill>
    </dxf>
    <dxf>
      <font>
        <color rgb="FF9C6500"/>
      </font>
      <fill>
        <patternFill>
          <bgColor rgb="FFFFEB9C"/>
        </patternFill>
      </fill>
    </dxf>
    <dxf>
      <font>
        <color theme="9" tint="-0.24993999302387238"/>
      </font>
      <fill>
        <patternFill>
          <bgColor theme="9" tint="0.5999600291252136"/>
        </patternFill>
      </fill>
    </dxf>
    <dxf>
      <font>
        <color rgb="FF9C0006"/>
      </font>
      <fill>
        <patternFill>
          <bgColor rgb="FFFFC7CE"/>
        </patternFill>
      </fill>
    </dxf>
    <dxf>
      <font>
        <color rgb="FF9C6500"/>
      </font>
      <fill>
        <patternFill>
          <bgColor rgb="FFFFEB9C"/>
        </patternFill>
      </fill>
    </dxf>
    <dxf>
      <font>
        <color theme="9" tint="-0.24993999302387238"/>
      </font>
      <fill>
        <patternFill>
          <bgColor theme="9" tint="0.5999600291252136"/>
        </patternFill>
      </fill>
    </dxf>
    <dxf>
      <font>
        <color rgb="FF9C0006"/>
      </font>
      <fill>
        <patternFill>
          <bgColor rgb="FFFFC7CE"/>
        </patternFill>
      </fill>
    </dxf>
    <dxf>
      <font>
        <color rgb="FF9C6500"/>
      </font>
      <fill>
        <patternFill>
          <bgColor rgb="FFFFEB9C"/>
        </patternFill>
      </fill>
    </dxf>
    <dxf>
      <font>
        <color theme="9" tint="-0.24993999302387238"/>
      </font>
      <fill>
        <patternFill>
          <bgColor theme="9" tint="0.5999600291252136"/>
        </patternFill>
      </fill>
    </dxf>
    <dxf>
      <font>
        <color rgb="FF9C0006"/>
      </font>
      <fill>
        <patternFill>
          <bgColor rgb="FFFFC7CE"/>
        </patternFill>
      </fill>
    </dxf>
    <dxf>
      <font>
        <color rgb="FF9C6500"/>
      </font>
      <fill>
        <patternFill>
          <bgColor rgb="FFFFEB9C"/>
        </patternFill>
      </fill>
    </dxf>
    <dxf>
      <font>
        <color theme="9" tint="-0.24993999302387238"/>
      </font>
      <fill>
        <patternFill>
          <bgColor theme="9" tint="0.5999600291252136"/>
        </patternFill>
      </fill>
    </dxf>
    <dxf>
      <font>
        <color rgb="FF9C0006"/>
      </font>
      <fill>
        <patternFill>
          <bgColor rgb="FFFFC7CE"/>
        </patternFill>
      </fill>
    </dxf>
    <dxf>
      <font>
        <color rgb="FF9C6500"/>
      </font>
      <fill>
        <patternFill>
          <bgColor rgb="FFFFEB9C"/>
        </patternFill>
      </fill>
    </dxf>
    <dxf>
      <font>
        <color theme="9" tint="-0.24993999302387238"/>
      </font>
      <fill>
        <patternFill>
          <bgColor theme="9" tint="0.5999600291252136"/>
        </patternFill>
      </fill>
    </dxf>
    <dxf>
      <font>
        <color rgb="FF9C0006"/>
      </font>
      <fill>
        <patternFill>
          <bgColor rgb="FFFFC7CE"/>
        </patternFill>
      </fill>
    </dxf>
    <dxf>
      <font>
        <color rgb="FF9C6500"/>
      </font>
      <fill>
        <patternFill>
          <bgColor rgb="FFFFEB9C"/>
        </patternFill>
      </fill>
    </dxf>
    <dxf>
      <font>
        <color theme="9" tint="-0.24993999302387238"/>
      </font>
      <fill>
        <patternFill>
          <bgColor theme="9" tint="0.5999600291252136"/>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3"/>
      </font>
      <fill>
        <patternFill>
          <bgColor theme="3"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Lit>
              <c:ptCount val="1"/>
              <c:pt idx="0">
                <c:v>0</c:v>
              </c:pt>
            </c:numLit>
          </c:val>
          <c:smooth val="0"/>
        </c:ser>
        <c:ser>
          <c:idx val="1"/>
          <c:order val="1"/>
          <c:spPr>
            <a:ln w="254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val>
            <c:numLit>
              <c:ptCount val="1"/>
              <c:pt idx="0">
                <c:v>0</c:v>
              </c:pt>
            </c:numLit>
          </c:val>
          <c:smooth val="0"/>
        </c:ser>
        <c:ser>
          <c:idx val="2"/>
          <c:order val="2"/>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val>
            <c:numLit>
              <c:ptCount val="1"/>
              <c:pt idx="0">
                <c:v>0</c:v>
              </c:pt>
            </c:numLit>
          </c:val>
          <c:smooth val="0"/>
        </c:ser>
        <c:marker val="1"/>
        <c:axId val="46914987"/>
        <c:axId val="19581700"/>
      </c:lineChart>
      <c:catAx>
        <c:axId val="4691498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75" b="1" i="1" u="none" baseline="0">
                <a:solidFill>
                  <a:srgbClr val="000000"/>
                </a:solidFill>
              </a:defRPr>
            </a:pPr>
          </a:p>
        </c:txPr>
        <c:crossAx val="19581700"/>
        <c:crosses val="autoZero"/>
        <c:auto val="1"/>
        <c:lblOffset val="100"/>
        <c:tickLblSkip val="1"/>
        <c:noMultiLvlLbl val="0"/>
      </c:catAx>
      <c:valAx>
        <c:axId val="1958170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noFill/>
          </a:ln>
        </c:spPr>
        <c:txPr>
          <a:bodyPr vert="horz" rot="0"/>
          <a:lstStyle/>
          <a:p>
            <a:pPr>
              <a:defRPr lang="en-US" cap="none" sz="175" b="1" i="0" u="none" baseline="0">
                <a:solidFill>
                  <a:srgbClr val="000000"/>
                </a:solidFill>
              </a:defRPr>
            </a:pPr>
          </a:p>
        </c:txPr>
        <c:crossAx val="46914987"/>
        <c:crossesAt val="1"/>
        <c:crossBetween val="midCat"/>
        <c:dispUnits/>
      </c:valAx>
      <c:spPr>
        <a:noFill/>
        <a:ln>
          <a:noFill/>
        </a:ln>
      </c:spPr>
    </c:plotArea>
    <c:legend>
      <c:legendPos val="r"/>
      <c:layout/>
      <c:overlay val="0"/>
      <c:spPr>
        <a:noFill/>
        <a:ln w="3175">
          <a:solidFill>
            <a:srgbClr val="000000"/>
          </a:solidFill>
        </a:ln>
      </c:spPr>
      <c:txPr>
        <a:bodyPr vert="horz" rot="0"/>
        <a:lstStyle/>
        <a:p>
          <a:pPr>
            <a:defRPr lang="en-US" cap="none" sz="845" b="1" i="1"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80"/>
                </a:solidFill>
              </a:ln>
            </c:spPr>
          </c:marker>
          <c:val>
            <c:numLit>
              <c:ptCount val="1"/>
              <c:pt idx="0">
                <c:v>0</c:v>
              </c:pt>
            </c:numLit>
          </c:val>
          <c:smooth val="0"/>
        </c:ser>
        <c:ser>
          <c:idx val="1"/>
          <c:order val="1"/>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800080"/>
              </a:solidFill>
              <a:ln>
                <a:solidFill>
                  <a:srgbClr val="800080"/>
                </a:solidFill>
              </a:ln>
            </c:spPr>
          </c:marker>
          <c:val>
            <c:numLit>
              <c:ptCount val="1"/>
              <c:pt idx="0">
                <c:v>0</c:v>
              </c:pt>
            </c:numLit>
          </c:val>
          <c:smooth val="0"/>
        </c:ser>
        <c:ser>
          <c:idx val="2"/>
          <c:order val="2"/>
          <c:spPr>
            <a:ln w="25400">
              <a:solidFill>
                <a:srgbClr val="0000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val>
            <c:numLit>
              <c:ptCount val="1"/>
              <c:pt idx="0">
                <c:v>0</c:v>
              </c:pt>
            </c:numLit>
          </c:val>
          <c:smooth val="0"/>
        </c:ser>
        <c:marker val="1"/>
        <c:axId val="42017573"/>
        <c:axId val="42613838"/>
      </c:lineChart>
      <c:catAx>
        <c:axId val="4201757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75" b="1" i="1" u="none" baseline="0">
                <a:solidFill>
                  <a:srgbClr val="000000"/>
                </a:solidFill>
              </a:defRPr>
            </a:pPr>
          </a:p>
        </c:txPr>
        <c:crossAx val="42613838"/>
        <c:crosses val="autoZero"/>
        <c:auto val="1"/>
        <c:lblOffset val="100"/>
        <c:tickLblSkip val="1"/>
        <c:noMultiLvlLbl val="0"/>
      </c:catAx>
      <c:valAx>
        <c:axId val="42613838"/>
        <c:scaling>
          <c:orientation val="minMax"/>
          <c:max val="1.5"/>
          <c:min val="0.5"/>
        </c:scaling>
        <c:axPos val="l"/>
        <c:majorGridlines>
          <c:spPr>
            <a:ln w="3175">
              <a:solidFill>
                <a:srgbClr val="000000"/>
              </a:solidFill>
            </a:ln>
          </c:spPr>
        </c:majorGridlines>
        <c:delete val="0"/>
        <c:numFmt formatCode="0.00" sourceLinked="0"/>
        <c:majorTickMark val="out"/>
        <c:minorTickMark val="none"/>
        <c:tickLblPos val="nextTo"/>
        <c:spPr>
          <a:ln w="3175">
            <a:noFill/>
          </a:ln>
        </c:spPr>
        <c:txPr>
          <a:bodyPr vert="horz" rot="0"/>
          <a:lstStyle/>
          <a:p>
            <a:pPr>
              <a:defRPr lang="en-US" cap="none" sz="175" b="1" i="0" u="none" baseline="0">
                <a:solidFill>
                  <a:srgbClr val="000000"/>
                </a:solidFill>
              </a:defRPr>
            </a:pPr>
          </a:p>
        </c:txPr>
        <c:crossAx val="42017573"/>
        <c:crossesAt val="1"/>
        <c:crossBetween val="midCat"/>
        <c:dispUnits/>
      </c:valAx>
      <c:spPr>
        <a:noFill/>
        <a:ln>
          <a:noFill/>
        </a:ln>
      </c:spPr>
    </c:plotArea>
    <c:legend>
      <c:legendPos val="r"/>
      <c:layout/>
      <c:overlay val="0"/>
      <c:spPr>
        <a:noFill/>
        <a:ln w="3175">
          <a:solidFill>
            <a:srgbClr val="000000"/>
          </a:solidFill>
        </a:ln>
      </c:spPr>
      <c:txPr>
        <a:bodyPr vert="horz" rot="0"/>
        <a:lstStyle/>
        <a:p>
          <a:pPr>
            <a:defRPr lang="en-US" cap="none" sz="845" b="1" i="1"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Performance Indices</a:t>
            </a:r>
          </a:p>
        </c:rich>
      </c:tx>
      <c:layout/>
      <c:spPr>
        <a:noFill/>
        <a:ln>
          <a:noFill/>
        </a:ln>
      </c:spPr>
    </c:title>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80"/>
                </a:solidFill>
              </a:ln>
            </c:spPr>
          </c:marker>
          <c:val>
            <c:numLit>
              <c:ptCount val="1"/>
              <c:pt idx="0">
                <c:v>0</c:v>
              </c:pt>
            </c:numLit>
          </c:val>
          <c:smooth val="0"/>
        </c:ser>
        <c:ser>
          <c:idx val="1"/>
          <c:order val="1"/>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800080"/>
              </a:solidFill>
              <a:ln>
                <a:solidFill>
                  <a:srgbClr val="800080"/>
                </a:solidFill>
              </a:ln>
            </c:spPr>
          </c:marker>
          <c:val>
            <c:numLit>
              <c:ptCount val="1"/>
              <c:pt idx="0">
                <c:v>0</c:v>
              </c:pt>
            </c:numLit>
          </c:val>
          <c:smooth val="0"/>
        </c:ser>
        <c:ser>
          <c:idx val="2"/>
          <c:order val="2"/>
          <c:spPr>
            <a:ln w="25400">
              <a:solidFill>
                <a:srgbClr val="0000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val>
            <c:numLit>
              <c:ptCount val="1"/>
              <c:pt idx="0">
                <c:v>0</c:v>
              </c:pt>
            </c:numLit>
          </c:val>
          <c:smooth val="0"/>
        </c:ser>
        <c:marker val="1"/>
        <c:axId val="47980223"/>
        <c:axId val="29168824"/>
      </c:lineChart>
      <c:catAx>
        <c:axId val="47980223"/>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Time</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75" b="1" i="1" u="none" baseline="0">
                <a:solidFill>
                  <a:srgbClr val="000000"/>
                </a:solidFill>
              </a:defRPr>
            </a:pPr>
          </a:p>
        </c:txPr>
        <c:crossAx val="29168824"/>
        <c:crosses val="autoZero"/>
        <c:auto val="1"/>
        <c:lblOffset val="100"/>
        <c:tickLblSkip val="1"/>
        <c:noMultiLvlLbl val="0"/>
      </c:catAx>
      <c:valAx>
        <c:axId val="29168824"/>
        <c:scaling>
          <c:orientation val="minMax"/>
          <c:max val="1.5"/>
          <c:min val="0"/>
        </c:scaling>
        <c:axPos val="l"/>
        <c:title>
          <c:tx>
            <c:rich>
              <a:bodyPr vert="horz" rot="-5400000" anchor="ctr"/>
              <a:lstStyle/>
              <a:p>
                <a:pPr algn="ctr">
                  <a:defRPr/>
                </a:pPr>
                <a:r>
                  <a:rPr lang="en-US" cap="none" sz="150" b="1" i="0" u="none" baseline="0">
                    <a:solidFill>
                      <a:srgbClr val="000000"/>
                    </a:solidFill>
                    <a:latin typeface="Arial"/>
                    <a:ea typeface="Arial"/>
                    <a:cs typeface="Arial"/>
                  </a:rPr>
                  <a:t>Cost</a:t>
                </a:r>
              </a:p>
            </c:rich>
          </c:tx>
          <c:layout/>
          <c:overlay val="0"/>
          <c:spPr>
            <a:noFill/>
            <a:ln>
              <a:noFill/>
            </a:ln>
          </c:spPr>
        </c:title>
        <c:majorGridlines>
          <c:spPr>
            <a:ln w="3175">
              <a:solidFill>
                <a:srgbClr val="000000"/>
              </a:solidFill>
            </a:ln>
          </c:spPr>
        </c:majorGridlines>
        <c:delete val="0"/>
        <c:numFmt formatCode="0.00" sourceLinked="0"/>
        <c:majorTickMark val="out"/>
        <c:minorTickMark val="none"/>
        <c:tickLblPos val="nextTo"/>
        <c:spPr>
          <a:ln w="3175">
            <a:noFill/>
          </a:ln>
        </c:spPr>
        <c:txPr>
          <a:bodyPr vert="horz" rot="0"/>
          <a:lstStyle/>
          <a:p>
            <a:pPr>
              <a:defRPr lang="en-US" cap="none" sz="175" b="1" i="0" u="none" baseline="0">
                <a:solidFill>
                  <a:srgbClr val="000000"/>
                </a:solidFill>
              </a:defRPr>
            </a:pPr>
          </a:p>
        </c:txPr>
        <c:crossAx val="47980223"/>
        <c:crossesAt val="1"/>
        <c:crossBetween val="midCat"/>
        <c:dispUnits/>
      </c:valAx>
      <c:spPr>
        <a:noFill/>
        <a:ln>
          <a:noFill/>
        </a:ln>
      </c:spPr>
    </c:plotArea>
    <c:legend>
      <c:legendPos val="r"/>
      <c:layout/>
      <c:overlay val="0"/>
      <c:spPr>
        <a:noFill/>
        <a:ln w="3175">
          <a:solidFill>
            <a:srgbClr val="000000"/>
          </a:solidFill>
        </a:ln>
      </c:spPr>
      <c:txPr>
        <a:bodyPr vert="horz" rot="0"/>
        <a:lstStyle/>
        <a:p>
          <a:pPr>
            <a:defRPr lang="en-US" cap="none" sz="845" b="1" i="1"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3</xdr:row>
      <xdr:rowOff>123825</xdr:rowOff>
    </xdr:from>
    <xdr:to>
      <xdr:col>5</xdr:col>
      <xdr:colOff>476250</xdr:colOff>
      <xdr:row>7</xdr:row>
      <xdr:rowOff>38100</xdr:rowOff>
    </xdr:to>
    <xdr:pic>
      <xdr:nvPicPr>
        <xdr:cNvPr id="1" name="Picture 21"/>
        <xdr:cNvPicPr preferRelativeResize="1">
          <a:picLocks noChangeAspect="1"/>
        </xdr:cNvPicPr>
      </xdr:nvPicPr>
      <xdr:blipFill>
        <a:blip r:embed="rId1"/>
        <a:stretch>
          <a:fillRect/>
        </a:stretch>
      </xdr:blipFill>
      <xdr:spPr>
        <a:xfrm>
          <a:off x="1952625" y="609600"/>
          <a:ext cx="1571625" cy="561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790575</xdr:colOff>
      <xdr:row>0</xdr:row>
      <xdr:rowOff>285750</xdr:rowOff>
    </xdr:to>
    <xdr:pic>
      <xdr:nvPicPr>
        <xdr:cNvPr id="1" name="Picture 21"/>
        <xdr:cNvPicPr preferRelativeResize="1">
          <a:picLocks noChangeAspect="1"/>
        </xdr:cNvPicPr>
      </xdr:nvPicPr>
      <xdr:blipFill>
        <a:blip r:embed="rId1"/>
        <a:stretch>
          <a:fillRect/>
        </a:stretch>
      </xdr:blipFill>
      <xdr:spPr>
        <a:xfrm>
          <a:off x="0" y="0"/>
          <a:ext cx="790575" cy="285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790575</xdr:colOff>
      <xdr:row>0</xdr:row>
      <xdr:rowOff>285750</xdr:rowOff>
    </xdr:to>
    <xdr:pic>
      <xdr:nvPicPr>
        <xdr:cNvPr id="1" name="Picture 21"/>
        <xdr:cNvPicPr preferRelativeResize="1">
          <a:picLocks noChangeAspect="1"/>
        </xdr:cNvPicPr>
      </xdr:nvPicPr>
      <xdr:blipFill>
        <a:blip r:embed="rId1"/>
        <a:stretch>
          <a:fillRect/>
        </a:stretch>
      </xdr:blipFill>
      <xdr:spPr>
        <a:xfrm>
          <a:off x="0" y="0"/>
          <a:ext cx="790575" cy="2857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200025</xdr:colOff>
      <xdr:row>0</xdr:row>
      <xdr:rowOff>266700</xdr:rowOff>
    </xdr:to>
    <xdr:pic>
      <xdr:nvPicPr>
        <xdr:cNvPr id="1" name="Picture 21"/>
        <xdr:cNvPicPr preferRelativeResize="1">
          <a:picLocks noChangeAspect="1"/>
        </xdr:cNvPicPr>
      </xdr:nvPicPr>
      <xdr:blipFill>
        <a:blip r:embed="rId1"/>
        <a:stretch>
          <a:fillRect/>
        </a:stretch>
      </xdr:blipFill>
      <xdr:spPr>
        <a:xfrm>
          <a:off x="0" y="19050"/>
          <a:ext cx="600075" cy="2476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781050</xdr:colOff>
      <xdr:row>0</xdr:row>
      <xdr:rowOff>390525</xdr:rowOff>
    </xdr:to>
    <xdr:pic>
      <xdr:nvPicPr>
        <xdr:cNvPr id="1" name="Picture 21"/>
        <xdr:cNvPicPr preferRelativeResize="1">
          <a:picLocks noChangeAspect="1"/>
        </xdr:cNvPicPr>
      </xdr:nvPicPr>
      <xdr:blipFill>
        <a:blip r:embed="rId1"/>
        <a:stretch>
          <a:fillRect/>
        </a:stretch>
      </xdr:blipFill>
      <xdr:spPr>
        <a:xfrm>
          <a:off x="0" y="0"/>
          <a:ext cx="1343025" cy="3905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xdr:col>
      <xdr:colOff>609600</xdr:colOff>
      <xdr:row>0</xdr:row>
      <xdr:rowOff>304800</xdr:rowOff>
    </xdr:to>
    <xdr:pic>
      <xdr:nvPicPr>
        <xdr:cNvPr id="1" name="Picture 21"/>
        <xdr:cNvPicPr preferRelativeResize="1">
          <a:picLocks noChangeAspect="1"/>
        </xdr:cNvPicPr>
      </xdr:nvPicPr>
      <xdr:blipFill>
        <a:blip r:embed="rId1"/>
        <a:stretch>
          <a:fillRect/>
        </a:stretch>
      </xdr:blipFill>
      <xdr:spPr>
        <a:xfrm>
          <a:off x="0" y="28575"/>
          <a:ext cx="971550" cy="2762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0</xdr:rowOff>
    </xdr:from>
    <xdr:to>
      <xdr:col>2</xdr:col>
      <xdr:colOff>1162050</xdr:colOff>
      <xdr:row>3</xdr:row>
      <xdr:rowOff>47625</xdr:rowOff>
    </xdr:to>
    <xdr:pic>
      <xdr:nvPicPr>
        <xdr:cNvPr id="1" name="Imagem 2"/>
        <xdr:cNvPicPr preferRelativeResize="1">
          <a:picLocks noChangeAspect="1"/>
        </xdr:cNvPicPr>
      </xdr:nvPicPr>
      <xdr:blipFill>
        <a:blip r:embed="rId1"/>
        <a:stretch>
          <a:fillRect/>
        </a:stretch>
      </xdr:blipFill>
      <xdr:spPr>
        <a:xfrm>
          <a:off x="295275" y="190500"/>
          <a:ext cx="1800225" cy="428625"/>
        </a:xfrm>
        <a:prstGeom prst="rect">
          <a:avLst/>
        </a:prstGeom>
        <a:noFill/>
        <a:ln w="9360"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790575</xdr:colOff>
      <xdr:row>0</xdr:row>
      <xdr:rowOff>285750</xdr:rowOff>
    </xdr:to>
    <xdr:pic>
      <xdr:nvPicPr>
        <xdr:cNvPr id="1" name="Picture 21"/>
        <xdr:cNvPicPr preferRelativeResize="1">
          <a:picLocks noChangeAspect="1"/>
        </xdr:cNvPicPr>
      </xdr:nvPicPr>
      <xdr:blipFill>
        <a:blip r:embed="rId1"/>
        <a:stretch>
          <a:fillRect/>
        </a:stretch>
      </xdr:blipFill>
      <xdr:spPr>
        <a:xfrm>
          <a:off x="0" y="0"/>
          <a:ext cx="790575" cy="2857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0</xdr:col>
      <xdr:colOff>1095375</xdr:colOff>
      <xdr:row>0</xdr:row>
      <xdr:rowOff>352425</xdr:rowOff>
    </xdr:to>
    <xdr:pic>
      <xdr:nvPicPr>
        <xdr:cNvPr id="1" name="Picture 21"/>
        <xdr:cNvPicPr preferRelativeResize="1">
          <a:picLocks noChangeAspect="1"/>
        </xdr:cNvPicPr>
      </xdr:nvPicPr>
      <xdr:blipFill>
        <a:blip r:embed="rId1"/>
        <a:stretch>
          <a:fillRect/>
        </a:stretch>
      </xdr:blipFill>
      <xdr:spPr>
        <a:xfrm>
          <a:off x="0" y="47625"/>
          <a:ext cx="1095375" cy="3048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809625</xdr:colOff>
      <xdr:row>0</xdr:row>
      <xdr:rowOff>304800</xdr:rowOff>
    </xdr:to>
    <xdr:pic>
      <xdr:nvPicPr>
        <xdr:cNvPr id="1" name="Picture 21"/>
        <xdr:cNvPicPr preferRelativeResize="1">
          <a:picLocks noChangeAspect="1"/>
        </xdr:cNvPicPr>
      </xdr:nvPicPr>
      <xdr:blipFill>
        <a:blip r:embed="rId1"/>
        <a:stretch>
          <a:fillRect/>
        </a:stretch>
      </xdr:blipFill>
      <xdr:spPr>
        <a:xfrm>
          <a:off x="19050" y="19050"/>
          <a:ext cx="790575" cy="2857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0</xdr:col>
      <xdr:colOff>1095375</xdr:colOff>
      <xdr:row>0</xdr:row>
      <xdr:rowOff>352425</xdr:rowOff>
    </xdr:to>
    <xdr:pic>
      <xdr:nvPicPr>
        <xdr:cNvPr id="1" name="Picture 21"/>
        <xdr:cNvPicPr preferRelativeResize="1">
          <a:picLocks noChangeAspect="1"/>
        </xdr:cNvPicPr>
      </xdr:nvPicPr>
      <xdr:blipFill>
        <a:blip r:embed="rId1"/>
        <a:stretch>
          <a:fillRect/>
        </a:stretch>
      </xdr:blipFill>
      <xdr:spPr>
        <a:xfrm>
          <a:off x="0" y="47625"/>
          <a:ext cx="1095375"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962025</xdr:colOff>
      <xdr:row>2</xdr:row>
      <xdr:rowOff>28575</xdr:rowOff>
    </xdr:from>
    <xdr:to>
      <xdr:col>2</xdr:col>
      <xdr:colOff>2600325</xdr:colOff>
      <xdr:row>5</xdr:row>
      <xdr:rowOff>133350</xdr:rowOff>
    </xdr:to>
    <xdr:pic>
      <xdr:nvPicPr>
        <xdr:cNvPr id="1" name="Picture 21"/>
        <xdr:cNvPicPr preferRelativeResize="1">
          <a:picLocks noChangeAspect="1"/>
        </xdr:cNvPicPr>
      </xdr:nvPicPr>
      <xdr:blipFill>
        <a:blip r:embed="rId1"/>
        <a:stretch>
          <a:fillRect/>
        </a:stretch>
      </xdr:blipFill>
      <xdr:spPr>
        <a:xfrm>
          <a:off x="2609850" y="390525"/>
          <a:ext cx="1638300" cy="6286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0</xdr:col>
      <xdr:colOff>1095375</xdr:colOff>
      <xdr:row>0</xdr:row>
      <xdr:rowOff>352425</xdr:rowOff>
    </xdr:to>
    <xdr:pic>
      <xdr:nvPicPr>
        <xdr:cNvPr id="1" name="Picture 21"/>
        <xdr:cNvPicPr preferRelativeResize="1">
          <a:picLocks noChangeAspect="1"/>
        </xdr:cNvPicPr>
      </xdr:nvPicPr>
      <xdr:blipFill>
        <a:blip r:embed="rId1"/>
        <a:stretch>
          <a:fillRect/>
        </a:stretch>
      </xdr:blipFill>
      <xdr:spPr>
        <a:xfrm>
          <a:off x="0" y="47625"/>
          <a:ext cx="1095375" cy="3048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0</xdr:col>
      <xdr:colOff>1095375</xdr:colOff>
      <xdr:row>0</xdr:row>
      <xdr:rowOff>352425</xdr:rowOff>
    </xdr:to>
    <xdr:pic>
      <xdr:nvPicPr>
        <xdr:cNvPr id="1" name="Picture 21"/>
        <xdr:cNvPicPr preferRelativeResize="1">
          <a:picLocks noChangeAspect="1"/>
        </xdr:cNvPicPr>
      </xdr:nvPicPr>
      <xdr:blipFill>
        <a:blip r:embed="rId1"/>
        <a:stretch>
          <a:fillRect/>
        </a:stretch>
      </xdr:blipFill>
      <xdr:spPr>
        <a:xfrm>
          <a:off x="0" y="47625"/>
          <a:ext cx="1095375" cy="3048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0</xdr:col>
      <xdr:colOff>1095375</xdr:colOff>
      <xdr:row>0</xdr:row>
      <xdr:rowOff>352425</xdr:rowOff>
    </xdr:to>
    <xdr:pic>
      <xdr:nvPicPr>
        <xdr:cNvPr id="1" name="Picture 21"/>
        <xdr:cNvPicPr preferRelativeResize="1">
          <a:picLocks noChangeAspect="1"/>
        </xdr:cNvPicPr>
      </xdr:nvPicPr>
      <xdr:blipFill>
        <a:blip r:embed="rId1"/>
        <a:stretch>
          <a:fillRect/>
        </a:stretch>
      </xdr:blipFill>
      <xdr:spPr>
        <a:xfrm>
          <a:off x="0" y="47625"/>
          <a:ext cx="1095375"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819150</xdr:colOff>
      <xdr:row>0</xdr:row>
      <xdr:rowOff>304800</xdr:rowOff>
    </xdr:to>
    <xdr:pic>
      <xdr:nvPicPr>
        <xdr:cNvPr id="1" name="Picture 21"/>
        <xdr:cNvPicPr preferRelativeResize="1">
          <a:picLocks noChangeAspect="1"/>
        </xdr:cNvPicPr>
      </xdr:nvPicPr>
      <xdr:blipFill>
        <a:blip r:embed="rId1"/>
        <a:stretch>
          <a:fillRect/>
        </a:stretch>
      </xdr:blipFill>
      <xdr:spPr>
        <a:xfrm>
          <a:off x="19050" y="19050"/>
          <a:ext cx="80010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38</xdr:col>
      <xdr:colOff>9525</xdr:colOff>
      <xdr:row>74</xdr:row>
      <xdr:rowOff>0</xdr:rowOff>
    </xdr:to>
    <xdr:graphicFrame>
      <xdr:nvGraphicFramePr>
        <xdr:cNvPr id="1" name="Chart 1"/>
        <xdr:cNvGraphicFramePr/>
      </xdr:nvGraphicFramePr>
      <xdr:xfrm>
        <a:off x="0" y="22012275"/>
        <a:ext cx="247173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74</xdr:row>
      <xdr:rowOff>0</xdr:rowOff>
    </xdr:from>
    <xdr:to>
      <xdr:col>28</xdr:col>
      <xdr:colOff>0</xdr:colOff>
      <xdr:row>74</xdr:row>
      <xdr:rowOff>0</xdr:rowOff>
    </xdr:to>
    <xdr:graphicFrame>
      <xdr:nvGraphicFramePr>
        <xdr:cNvPr id="2" name="Chart 2"/>
        <xdr:cNvGraphicFramePr/>
      </xdr:nvGraphicFramePr>
      <xdr:xfrm>
        <a:off x="0" y="22012275"/>
        <a:ext cx="19945350" cy="0"/>
      </xdr:xfrm>
      <a:graphic>
        <a:graphicData uri="http://schemas.openxmlformats.org/drawingml/2006/chart">
          <c:chart xmlns:c="http://schemas.openxmlformats.org/drawingml/2006/chart" r:id="rId2"/>
        </a:graphicData>
      </a:graphic>
    </xdr:graphicFrame>
    <xdr:clientData/>
  </xdr:twoCellAnchor>
  <xdr:twoCellAnchor>
    <xdr:from>
      <xdr:col>16</xdr:col>
      <xdr:colOff>0</xdr:colOff>
      <xdr:row>74</xdr:row>
      <xdr:rowOff>0</xdr:rowOff>
    </xdr:from>
    <xdr:to>
      <xdr:col>27</xdr:col>
      <xdr:colOff>476250</xdr:colOff>
      <xdr:row>74</xdr:row>
      <xdr:rowOff>0</xdr:rowOff>
    </xdr:to>
    <xdr:sp>
      <xdr:nvSpPr>
        <xdr:cNvPr id="3" name="Text Box 3"/>
        <xdr:cNvSpPr txBox="1">
          <a:spLocks noChangeArrowheads="1"/>
        </xdr:cNvSpPr>
      </xdr:nvSpPr>
      <xdr:spPr>
        <a:xfrm>
          <a:off x="14230350" y="22012275"/>
          <a:ext cx="5715000" cy="0"/>
        </a:xfrm>
        <a:prstGeom prst="rect">
          <a:avLst/>
        </a:prstGeom>
        <a:noFill/>
        <a:ln w="9525" cmpd="sng">
          <a:noFill/>
        </a:ln>
      </xdr:spPr>
      <xdr:txBody>
        <a:bodyPr vertOverflow="clip" wrap="square" lIns="0" tIns="27432" rIns="36576" bIns="0"/>
        <a:p>
          <a:pPr algn="r">
            <a:defRPr/>
          </a:pPr>
          <a:r>
            <a:rPr lang="en-US" cap="none" sz="1200" b="1" i="0" u="none" baseline="0">
              <a:solidFill>
                <a:srgbClr val="000000"/>
              </a:solidFill>
              <a:latin typeface="Arial"/>
              <a:ea typeface="Arial"/>
              <a:cs typeface="Arial"/>
            </a:rPr>
            <a:t>Super Stars (SS)</a:t>
          </a:r>
        </a:p>
      </xdr:txBody>
    </xdr:sp>
    <xdr:clientData/>
  </xdr:twoCellAnchor>
  <xdr:twoCellAnchor>
    <xdr:from>
      <xdr:col>16</xdr:col>
      <xdr:colOff>0</xdr:colOff>
      <xdr:row>74</xdr:row>
      <xdr:rowOff>0</xdr:rowOff>
    </xdr:from>
    <xdr:to>
      <xdr:col>27</xdr:col>
      <xdr:colOff>476250</xdr:colOff>
      <xdr:row>74</xdr:row>
      <xdr:rowOff>0</xdr:rowOff>
    </xdr:to>
    <xdr:sp>
      <xdr:nvSpPr>
        <xdr:cNvPr id="4" name="Text Box 4"/>
        <xdr:cNvSpPr txBox="1">
          <a:spLocks noChangeArrowheads="1"/>
        </xdr:cNvSpPr>
      </xdr:nvSpPr>
      <xdr:spPr>
        <a:xfrm>
          <a:off x="14230350" y="22012275"/>
          <a:ext cx="5715000" cy="0"/>
        </a:xfrm>
        <a:prstGeom prst="rect">
          <a:avLst/>
        </a:prstGeom>
        <a:noFill/>
        <a:ln w="9525" cmpd="sng">
          <a:noFill/>
        </a:ln>
      </xdr:spPr>
      <xdr:txBody>
        <a:bodyPr vertOverflow="clip" wrap="square" lIns="0" tIns="27432" rIns="36576" bIns="0"/>
        <a:p>
          <a:pPr algn="r">
            <a:defRPr/>
          </a:pPr>
          <a:r>
            <a:rPr lang="en-US" cap="none" sz="1200" b="1" i="0" u="none" baseline="0">
              <a:solidFill>
                <a:srgbClr val="000000"/>
              </a:solidFill>
              <a:latin typeface="Arial"/>
              <a:ea typeface="Arial"/>
              <a:cs typeface="Arial"/>
            </a:rPr>
            <a:t>Good (G)</a:t>
          </a:r>
        </a:p>
      </xdr:txBody>
    </xdr:sp>
    <xdr:clientData/>
  </xdr:twoCellAnchor>
  <xdr:twoCellAnchor>
    <xdr:from>
      <xdr:col>16</xdr:col>
      <xdr:colOff>0</xdr:colOff>
      <xdr:row>74</xdr:row>
      <xdr:rowOff>0</xdr:rowOff>
    </xdr:from>
    <xdr:to>
      <xdr:col>27</xdr:col>
      <xdr:colOff>476250</xdr:colOff>
      <xdr:row>74</xdr:row>
      <xdr:rowOff>0</xdr:rowOff>
    </xdr:to>
    <xdr:sp>
      <xdr:nvSpPr>
        <xdr:cNvPr id="5" name="Text Box 5"/>
        <xdr:cNvSpPr txBox="1">
          <a:spLocks noChangeArrowheads="1"/>
        </xdr:cNvSpPr>
      </xdr:nvSpPr>
      <xdr:spPr>
        <a:xfrm>
          <a:off x="14230350" y="22012275"/>
          <a:ext cx="5715000" cy="0"/>
        </a:xfrm>
        <a:prstGeom prst="rect">
          <a:avLst/>
        </a:prstGeom>
        <a:noFill/>
        <a:ln w="9525" cmpd="sng">
          <a:noFill/>
        </a:ln>
      </xdr:spPr>
      <xdr:txBody>
        <a:bodyPr vertOverflow="clip" wrap="square" lIns="0" tIns="27432" rIns="36576" bIns="0"/>
        <a:p>
          <a:pPr algn="r">
            <a:defRPr/>
          </a:pPr>
          <a:r>
            <a:rPr lang="en-US" cap="none" sz="1200" b="1" i="0" u="none" baseline="0">
              <a:solidFill>
                <a:srgbClr val="000000"/>
              </a:solidFill>
              <a:latin typeface="Arial"/>
              <a:ea typeface="Arial"/>
              <a:cs typeface="Arial"/>
            </a:rPr>
            <a:t>Caution (C)</a:t>
          </a:r>
        </a:p>
      </xdr:txBody>
    </xdr:sp>
    <xdr:clientData/>
  </xdr:twoCellAnchor>
  <xdr:twoCellAnchor>
    <xdr:from>
      <xdr:col>16</xdr:col>
      <xdr:colOff>0</xdr:colOff>
      <xdr:row>74</xdr:row>
      <xdr:rowOff>0</xdr:rowOff>
    </xdr:from>
    <xdr:to>
      <xdr:col>27</xdr:col>
      <xdr:colOff>476250</xdr:colOff>
      <xdr:row>74</xdr:row>
      <xdr:rowOff>0</xdr:rowOff>
    </xdr:to>
    <xdr:sp>
      <xdr:nvSpPr>
        <xdr:cNvPr id="6" name="Text Box 6"/>
        <xdr:cNvSpPr txBox="1">
          <a:spLocks noChangeArrowheads="1"/>
        </xdr:cNvSpPr>
      </xdr:nvSpPr>
      <xdr:spPr>
        <a:xfrm>
          <a:off x="14230350" y="22012275"/>
          <a:ext cx="5715000" cy="0"/>
        </a:xfrm>
        <a:prstGeom prst="rect">
          <a:avLst/>
        </a:prstGeom>
        <a:noFill/>
        <a:ln w="9525" cmpd="sng">
          <a:noFill/>
        </a:ln>
      </xdr:spPr>
      <xdr:txBody>
        <a:bodyPr vertOverflow="clip" wrap="square" lIns="0" tIns="27432" rIns="36576" bIns="0"/>
        <a:p>
          <a:pPr algn="r">
            <a:defRPr/>
          </a:pPr>
          <a:r>
            <a:rPr lang="en-US" cap="none" sz="1200" b="1" i="0" u="none" baseline="0">
              <a:solidFill>
                <a:srgbClr val="000000"/>
              </a:solidFill>
              <a:latin typeface="Arial"/>
              <a:ea typeface="Arial"/>
              <a:cs typeface="Arial"/>
            </a:rPr>
            <a:t>Poor (P)</a:t>
          </a:r>
        </a:p>
      </xdr:txBody>
    </xdr:sp>
    <xdr:clientData/>
  </xdr:twoCellAnchor>
  <xdr:twoCellAnchor>
    <xdr:from>
      <xdr:col>0</xdr:col>
      <xdr:colOff>0</xdr:colOff>
      <xdr:row>74</xdr:row>
      <xdr:rowOff>0</xdr:rowOff>
    </xdr:from>
    <xdr:to>
      <xdr:col>24</xdr:col>
      <xdr:colOff>161925</xdr:colOff>
      <xdr:row>74</xdr:row>
      <xdr:rowOff>0</xdr:rowOff>
    </xdr:to>
    <xdr:graphicFrame>
      <xdr:nvGraphicFramePr>
        <xdr:cNvPr id="7" name="Chart 8"/>
        <xdr:cNvGraphicFramePr/>
      </xdr:nvGraphicFramePr>
      <xdr:xfrm>
        <a:off x="0" y="22012275"/>
        <a:ext cx="18202275" cy="0"/>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0</xdr:row>
      <xdr:rowOff>28575</xdr:rowOff>
    </xdr:from>
    <xdr:to>
      <xdr:col>0</xdr:col>
      <xdr:colOff>828675</xdr:colOff>
      <xdr:row>0</xdr:row>
      <xdr:rowOff>314325</xdr:rowOff>
    </xdr:to>
    <xdr:pic>
      <xdr:nvPicPr>
        <xdr:cNvPr id="8" name="Picture 21"/>
        <xdr:cNvPicPr preferRelativeResize="1">
          <a:picLocks noChangeAspect="1"/>
        </xdr:cNvPicPr>
      </xdr:nvPicPr>
      <xdr:blipFill>
        <a:blip r:embed="rId4"/>
        <a:stretch>
          <a:fillRect/>
        </a:stretch>
      </xdr:blipFill>
      <xdr:spPr>
        <a:xfrm>
          <a:off x="47625" y="28575"/>
          <a:ext cx="781050"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xdr:col>
      <xdr:colOff>1000125</xdr:colOff>
      <xdr:row>0</xdr:row>
      <xdr:rowOff>304800</xdr:rowOff>
    </xdr:to>
    <xdr:pic>
      <xdr:nvPicPr>
        <xdr:cNvPr id="1" name="Picture 21"/>
        <xdr:cNvPicPr preferRelativeResize="1">
          <a:picLocks noChangeAspect="1"/>
        </xdr:cNvPicPr>
      </xdr:nvPicPr>
      <xdr:blipFill>
        <a:blip r:embed="rId1"/>
        <a:stretch>
          <a:fillRect/>
        </a:stretch>
      </xdr:blipFill>
      <xdr:spPr>
        <a:xfrm>
          <a:off x="19050" y="19050"/>
          <a:ext cx="1800225"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xdr:col>
      <xdr:colOff>619125</xdr:colOff>
      <xdr:row>0</xdr:row>
      <xdr:rowOff>409575</xdr:rowOff>
    </xdr:to>
    <xdr:pic>
      <xdr:nvPicPr>
        <xdr:cNvPr id="1" name="Picture 21"/>
        <xdr:cNvPicPr preferRelativeResize="1">
          <a:picLocks noChangeAspect="1"/>
        </xdr:cNvPicPr>
      </xdr:nvPicPr>
      <xdr:blipFill>
        <a:blip r:embed="rId1"/>
        <a:stretch>
          <a:fillRect/>
        </a:stretch>
      </xdr:blipFill>
      <xdr:spPr>
        <a:xfrm>
          <a:off x="19050" y="19050"/>
          <a:ext cx="118110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1</xdr:col>
      <xdr:colOff>504825</xdr:colOff>
      <xdr:row>0</xdr:row>
      <xdr:rowOff>409575</xdr:rowOff>
    </xdr:to>
    <xdr:pic>
      <xdr:nvPicPr>
        <xdr:cNvPr id="1" name="Picture 21"/>
        <xdr:cNvPicPr preferRelativeResize="1">
          <a:picLocks noChangeAspect="1"/>
        </xdr:cNvPicPr>
      </xdr:nvPicPr>
      <xdr:blipFill>
        <a:blip r:embed="rId1"/>
        <a:stretch>
          <a:fillRect/>
        </a:stretch>
      </xdr:blipFill>
      <xdr:spPr>
        <a:xfrm>
          <a:off x="0" y="76200"/>
          <a:ext cx="1133475" cy="333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809625</xdr:colOff>
      <xdr:row>0</xdr:row>
      <xdr:rowOff>304800</xdr:rowOff>
    </xdr:to>
    <xdr:pic>
      <xdr:nvPicPr>
        <xdr:cNvPr id="1" name="Picture 21"/>
        <xdr:cNvPicPr preferRelativeResize="1">
          <a:picLocks noChangeAspect="1"/>
        </xdr:cNvPicPr>
      </xdr:nvPicPr>
      <xdr:blipFill>
        <a:blip r:embed="rId1"/>
        <a:stretch>
          <a:fillRect/>
        </a:stretch>
      </xdr:blipFill>
      <xdr:spPr>
        <a:xfrm>
          <a:off x="19050" y="19050"/>
          <a:ext cx="790575" cy="285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285750</xdr:rowOff>
    </xdr:to>
    <xdr:pic>
      <xdr:nvPicPr>
        <xdr:cNvPr id="1" name="Picture 21"/>
        <xdr:cNvPicPr preferRelativeResize="1">
          <a:picLocks noChangeAspect="1"/>
        </xdr:cNvPicPr>
      </xdr:nvPicPr>
      <xdr:blipFill>
        <a:blip r:embed="rId1"/>
        <a:stretch>
          <a:fillRect/>
        </a:stretch>
      </xdr:blipFill>
      <xdr:spPr>
        <a:xfrm>
          <a:off x="0" y="0"/>
          <a:ext cx="790575" cy="285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d1arq01\Adins\3%20Projetos\2%20Conclu&#237;dos\DF%20Minist&#233;rio%20do%20Planejamento\Administra&#231;&#227;o\Relat&#243;rios%20dos%20Produtos\PNAGE%20POA%20-%20Versao%20Revista%20Plano%20de%20Contas%2001Ago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a"/>
      <sheetName val="Justificativa"/>
      <sheetName val="Parâmetros"/>
      <sheetName val="Comp 1"/>
      <sheetName val="Comp A"/>
      <sheetName val="Comp 2"/>
      <sheetName val="Comp 3"/>
      <sheetName val="Comp 4"/>
      <sheetName val="Comp 5"/>
      <sheetName val="Comp 6"/>
      <sheetName val="Adm Projeto"/>
      <sheetName val="Monit&amp;Avaliação"/>
      <sheetName val="Consolidação 1"/>
      <sheetName val="Consolidação 2"/>
    </sheetNames>
    <sheetDataSet>
      <sheetData sheetId="2">
        <row r="8">
          <cell r="C8" t="str">
            <v>Rafaela</v>
          </cell>
        </row>
        <row r="9">
          <cell r="C9" t="str">
            <v>Marcos</v>
          </cell>
        </row>
        <row r="10">
          <cell r="C10" t="str">
            <v>COAF</v>
          </cell>
        </row>
        <row r="11">
          <cell r="C11" t="str">
            <v>Teste</v>
          </cell>
        </row>
        <row r="12">
          <cell r="C12" t="str">
            <v>Nélly</v>
          </cell>
        </row>
        <row r="13">
          <cell r="C13" t="str">
            <v>Eugenio</v>
          </cell>
        </row>
        <row r="14">
          <cell r="C14" t="str">
            <v>Tadeu</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L40"/>
  <sheetViews>
    <sheetView showGridLines="0" tabSelected="1" workbookViewId="0" topLeftCell="A1">
      <selection activeCell="F10" sqref="F10"/>
    </sheetView>
  </sheetViews>
  <sheetFormatPr defaultColWidth="9.140625" defaultRowHeight="12.75"/>
  <cols>
    <col min="1" max="8" width="9.140625" style="2" customWidth="1"/>
    <col min="9" max="9" width="14.57421875" style="2" hidden="1" customWidth="1"/>
    <col min="10" max="16384" width="9.140625" style="2" customWidth="1"/>
  </cols>
  <sheetData>
    <row r="7" spans="1:10" ht="12.75">
      <c r="A7" s="1"/>
      <c r="B7" s="1"/>
      <c r="C7" s="1"/>
      <c r="D7" s="1"/>
      <c r="E7" s="1"/>
      <c r="F7" s="1"/>
      <c r="G7" s="1"/>
      <c r="H7" s="1"/>
      <c r="I7" s="1"/>
      <c r="J7" s="1"/>
    </row>
    <row r="8" spans="1:10" ht="12.75">
      <c r="A8" s="1"/>
      <c r="B8" s="1"/>
      <c r="C8" s="1"/>
      <c r="D8" s="3"/>
      <c r="E8" s="1"/>
      <c r="F8" s="1"/>
      <c r="G8" s="1"/>
      <c r="H8" s="1"/>
      <c r="I8" s="1"/>
      <c r="J8" s="1"/>
    </row>
    <row r="9" spans="1:10" ht="12.75">
      <c r="A9" s="1"/>
      <c r="B9" s="1"/>
      <c r="C9" s="1"/>
      <c r="D9" s="3"/>
      <c r="E9" s="1"/>
      <c r="F9" s="1"/>
      <c r="G9" s="1"/>
      <c r="H9" s="1"/>
      <c r="I9" s="1"/>
      <c r="J9" s="1"/>
    </row>
    <row r="10" spans="1:10" ht="12.75">
      <c r="A10" s="1"/>
      <c r="B10" s="1"/>
      <c r="C10" s="1"/>
      <c r="D10" s="3"/>
      <c r="E10" s="1"/>
      <c r="F10" s="1"/>
      <c r="G10" s="1"/>
      <c r="H10" s="1"/>
      <c r="I10" s="1"/>
      <c r="J10" s="1"/>
    </row>
    <row r="11" spans="1:10" ht="12.75">
      <c r="A11" s="1"/>
      <c r="B11" s="1"/>
      <c r="C11" s="1"/>
      <c r="D11" s="1"/>
      <c r="E11" s="1"/>
      <c r="F11" s="1"/>
      <c r="G11" s="1"/>
      <c r="H11" s="1"/>
      <c r="I11" s="1"/>
      <c r="J11" s="1"/>
    </row>
    <row r="12" spans="1:10" ht="12.75">
      <c r="A12" s="1"/>
      <c r="B12" s="1287" t="s">
        <v>1533</v>
      </c>
      <c r="C12" s="1287"/>
      <c r="D12" s="1287"/>
      <c r="E12" s="1287"/>
      <c r="F12" s="1287"/>
      <c r="G12" s="1287"/>
      <c r="H12" s="1287"/>
      <c r="I12" s="1"/>
      <c r="J12" s="1"/>
    </row>
    <row r="13" spans="1:10" ht="90" customHeight="1">
      <c r="A13" s="1"/>
      <c r="B13" s="1287"/>
      <c r="C13" s="1287"/>
      <c r="D13" s="1287"/>
      <c r="E13" s="1287"/>
      <c r="F13" s="1287"/>
      <c r="G13" s="1287"/>
      <c r="H13" s="1287"/>
      <c r="I13" s="1"/>
      <c r="J13" s="1"/>
    </row>
    <row r="14" spans="1:10" ht="18.75">
      <c r="A14" s="1"/>
      <c r="B14" s="102"/>
      <c r="C14" s="102"/>
      <c r="D14" s="102"/>
      <c r="E14" s="102"/>
      <c r="F14" s="102"/>
      <c r="G14" s="102"/>
      <c r="H14" s="102"/>
      <c r="I14" s="1"/>
      <c r="J14" s="1"/>
    </row>
    <row r="15" spans="1:12" ht="18.75">
      <c r="A15" s="1"/>
      <c r="B15" s="102"/>
      <c r="C15" s="102"/>
      <c r="D15" s="102"/>
      <c r="E15" s="102"/>
      <c r="F15" s="102"/>
      <c r="G15" s="102"/>
      <c r="H15" s="102"/>
      <c r="I15" s="1"/>
      <c r="J15" s="1"/>
      <c r="L15" s="4"/>
    </row>
    <row r="16" spans="1:10" ht="18.75">
      <c r="A16" s="1"/>
      <c r="B16" s="102"/>
      <c r="C16" s="102"/>
      <c r="D16" s="102"/>
      <c r="E16" s="102"/>
      <c r="F16" s="102"/>
      <c r="G16" s="102"/>
      <c r="H16" s="102"/>
      <c r="I16" s="1"/>
      <c r="J16" s="1"/>
    </row>
    <row r="17" spans="1:10" ht="18.75">
      <c r="A17" s="1"/>
      <c r="B17" s="102"/>
      <c r="C17" s="102"/>
      <c r="D17" s="102"/>
      <c r="E17" s="102"/>
      <c r="F17" s="102"/>
      <c r="G17" s="102"/>
      <c r="H17" s="102"/>
      <c r="I17" s="1"/>
      <c r="J17" s="1"/>
    </row>
    <row r="18" spans="1:10" ht="18.75">
      <c r="A18" s="1"/>
      <c r="B18" s="5"/>
      <c r="C18" s="5"/>
      <c r="D18" s="5"/>
      <c r="E18" s="5"/>
      <c r="F18" s="5"/>
      <c r="G18" s="5"/>
      <c r="H18" s="5"/>
      <c r="I18" s="1"/>
      <c r="J18" s="1"/>
    </row>
    <row r="19" spans="1:10" ht="18" customHeight="1">
      <c r="A19" s="1"/>
      <c r="B19" s="1288" t="s">
        <v>253</v>
      </c>
      <c r="C19" s="1288"/>
      <c r="D19" s="1288"/>
      <c r="E19" s="1288"/>
      <c r="F19" s="1288"/>
      <c r="G19" s="1288"/>
      <c r="H19" s="1288"/>
      <c r="I19" s="1"/>
      <c r="J19" s="1"/>
    </row>
    <row r="20" spans="1:10" ht="12.75">
      <c r="A20" s="1"/>
      <c r="B20" s="1288"/>
      <c r="C20" s="1288"/>
      <c r="D20" s="1288"/>
      <c r="E20" s="1288"/>
      <c r="F20" s="1288"/>
      <c r="G20" s="1288"/>
      <c r="H20" s="1288"/>
      <c r="I20" s="1"/>
      <c r="J20" s="1"/>
    </row>
    <row r="21" spans="1:10" ht="12.75">
      <c r="A21" s="1"/>
      <c r="B21" s="1288"/>
      <c r="C21" s="1288"/>
      <c r="D21" s="1288"/>
      <c r="E21" s="1288"/>
      <c r="F21" s="1288"/>
      <c r="G21" s="1288"/>
      <c r="H21" s="1288"/>
      <c r="I21" s="1"/>
      <c r="J21" s="1"/>
    </row>
    <row r="22" spans="1:10" ht="12.75">
      <c r="A22" s="1"/>
      <c r="B22" s="1288"/>
      <c r="C22" s="1288"/>
      <c r="D22" s="1288"/>
      <c r="E22" s="1288"/>
      <c r="F22" s="1288"/>
      <c r="G22" s="1288"/>
      <c r="H22" s="1288"/>
      <c r="I22" s="1"/>
      <c r="J22" s="1"/>
    </row>
    <row r="23" spans="1:10" ht="12.75">
      <c r="A23" s="1"/>
      <c r="B23" s="1288"/>
      <c r="C23" s="1288"/>
      <c r="D23" s="1288"/>
      <c r="E23" s="1288"/>
      <c r="F23" s="1288"/>
      <c r="G23" s="1288"/>
      <c r="H23" s="1288"/>
      <c r="I23" s="1"/>
      <c r="J23" s="1"/>
    </row>
    <row r="24" spans="1:10" ht="18.75">
      <c r="A24" s="1"/>
      <c r="B24" s="102"/>
      <c r="C24" s="102"/>
      <c r="D24" s="102"/>
      <c r="E24" s="102"/>
      <c r="F24" s="102"/>
      <c r="G24" s="102"/>
      <c r="H24" s="102"/>
      <c r="I24" s="1"/>
      <c r="J24" s="1"/>
    </row>
    <row r="25" spans="1:10" ht="18.75">
      <c r="A25" s="1"/>
      <c r="B25" s="1289" t="s">
        <v>1532</v>
      </c>
      <c r="C25" s="1290"/>
      <c r="D25" s="1290"/>
      <c r="E25" s="1290"/>
      <c r="F25" s="1290"/>
      <c r="G25" s="1290"/>
      <c r="H25" s="1290"/>
      <c r="I25" s="1"/>
      <c r="J25" s="1"/>
    </row>
    <row r="26" spans="1:10" ht="18.75">
      <c r="A26" s="1"/>
      <c r="B26" s="102"/>
      <c r="C26" s="102"/>
      <c r="D26" s="102"/>
      <c r="E26" s="102"/>
      <c r="F26" s="102"/>
      <c r="G26" s="102"/>
      <c r="H26" s="102"/>
      <c r="I26" s="1"/>
      <c r="J26" s="1"/>
    </row>
    <row r="27" spans="1:10" ht="18.75">
      <c r="A27" s="1"/>
      <c r="B27" s="102"/>
      <c r="C27" s="102"/>
      <c r="D27" s="102"/>
      <c r="E27" s="102"/>
      <c r="F27" s="102"/>
      <c r="G27" s="102"/>
      <c r="H27" s="102"/>
      <c r="I27" s="1"/>
      <c r="J27" s="1"/>
    </row>
    <row r="28" spans="1:10" ht="12.75">
      <c r="A28" s="1"/>
      <c r="B28" s="1285"/>
      <c r="C28" s="1286"/>
      <c r="D28" s="1286"/>
      <c r="E28" s="1286"/>
      <c r="F28" s="1286"/>
      <c r="G28" s="1286"/>
      <c r="H28" s="1286"/>
      <c r="I28" s="1"/>
      <c r="J28" s="1"/>
    </row>
    <row r="29" spans="1:10" ht="27.75" customHeight="1">
      <c r="A29" s="1"/>
      <c r="B29" s="1286"/>
      <c r="C29" s="1286"/>
      <c r="D29" s="1286"/>
      <c r="E29" s="1286"/>
      <c r="F29" s="1286"/>
      <c r="G29" s="1286"/>
      <c r="H29" s="1286"/>
      <c r="I29" s="1"/>
      <c r="J29" s="1"/>
    </row>
    <row r="30" spans="1:10" ht="12.75" customHeight="1">
      <c r="A30" s="1"/>
      <c r="B30" s="1286"/>
      <c r="C30" s="1286"/>
      <c r="D30" s="1286"/>
      <c r="E30" s="1286"/>
      <c r="F30" s="1286"/>
      <c r="G30" s="1286"/>
      <c r="H30" s="1286"/>
      <c r="I30" s="1"/>
      <c r="J30" s="1"/>
    </row>
    <row r="31" spans="1:10" ht="12.75" customHeight="1">
      <c r="A31" s="1"/>
      <c r="B31" s="1286"/>
      <c r="C31" s="1286"/>
      <c r="D31" s="1286"/>
      <c r="E31" s="1286"/>
      <c r="F31" s="1286"/>
      <c r="G31" s="1286"/>
      <c r="H31" s="1286"/>
      <c r="I31" s="1"/>
      <c r="J31" s="1"/>
    </row>
    <row r="32" spans="1:10" ht="12.75" customHeight="1">
      <c r="A32" s="1"/>
      <c r="B32" s="1286"/>
      <c r="C32" s="1286"/>
      <c r="D32" s="1286"/>
      <c r="E32" s="1286"/>
      <c r="F32" s="1286"/>
      <c r="G32" s="1286"/>
      <c r="H32" s="1286"/>
      <c r="I32" s="1"/>
      <c r="J32" s="1"/>
    </row>
    <row r="33" spans="1:10" ht="18.75">
      <c r="A33" s="1"/>
      <c r="B33" s="102"/>
      <c r="C33" s="102"/>
      <c r="D33" s="102"/>
      <c r="E33" s="102"/>
      <c r="F33" s="102"/>
      <c r="G33" s="102"/>
      <c r="H33" s="102"/>
      <c r="I33" s="1"/>
      <c r="J33" s="1"/>
    </row>
    <row r="34" spans="1:10" ht="18.75">
      <c r="A34" s="1"/>
      <c r="B34" s="102"/>
      <c r="C34" s="102"/>
      <c r="D34" s="102"/>
      <c r="E34" s="102"/>
      <c r="F34" s="102"/>
      <c r="G34" s="102"/>
      <c r="H34" s="102"/>
      <c r="I34" s="1"/>
      <c r="J34" s="1"/>
    </row>
    <row r="35" spans="1:10" ht="12.75">
      <c r="A35" s="1"/>
      <c r="B35" s="1"/>
      <c r="C35" s="1"/>
      <c r="D35" s="1"/>
      <c r="E35" s="1"/>
      <c r="F35" s="1"/>
      <c r="G35" s="1"/>
      <c r="H35" s="1"/>
      <c r="I35" s="1"/>
      <c r="J35" s="1"/>
    </row>
    <row r="36" spans="1:10" ht="12.75">
      <c r="A36" s="1"/>
      <c r="B36" s="1"/>
      <c r="C36" s="1"/>
      <c r="D36" s="1"/>
      <c r="E36" s="1"/>
      <c r="F36" s="1"/>
      <c r="G36" s="1"/>
      <c r="H36" s="1"/>
      <c r="I36" s="1"/>
      <c r="J36" s="1"/>
    </row>
    <row r="37" spans="1:10" ht="12.75">
      <c r="A37" s="1"/>
      <c r="B37" s="1"/>
      <c r="C37" s="1"/>
      <c r="D37" s="1"/>
      <c r="E37" s="1"/>
      <c r="F37" s="1"/>
      <c r="G37" s="1"/>
      <c r="H37" s="1"/>
      <c r="I37" s="1"/>
      <c r="J37" s="1"/>
    </row>
    <row r="38" spans="1:10" ht="12.75">
      <c r="A38" s="1"/>
      <c r="B38" s="1"/>
      <c r="C38" s="1"/>
      <c r="D38" s="1"/>
      <c r="E38" s="1"/>
      <c r="F38" s="1"/>
      <c r="G38" s="1"/>
      <c r="H38" s="1"/>
      <c r="I38" s="1"/>
      <c r="J38" s="1"/>
    </row>
    <row r="39" spans="1:10" ht="12.75">
      <c r="A39" s="1"/>
      <c r="B39" s="1"/>
      <c r="C39" s="1"/>
      <c r="D39" s="1"/>
      <c r="E39" s="1"/>
      <c r="F39" s="1"/>
      <c r="G39" s="1"/>
      <c r="H39" s="1"/>
      <c r="I39" s="1"/>
      <c r="J39" s="1"/>
    </row>
    <row r="40" spans="1:10" ht="12.75">
      <c r="A40" s="1"/>
      <c r="B40" s="1"/>
      <c r="C40" s="1"/>
      <c r="D40" s="1"/>
      <c r="E40" s="1"/>
      <c r="F40" s="1"/>
      <c r="G40" s="1"/>
      <c r="H40" s="1"/>
      <c r="I40" s="1"/>
      <c r="J40" s="1"/>
    </row>
  </sheetData>
  <sheetProtection/>
  <mergeCells count="4">
    <mergeCell ref="B28:H32"/>
    <mergeCell ref="B12:H13"/>
    <mergeCell ref="B19:H23"/>
    <mergeCell ref="B25:H25"/>
  </mergeCells>
  <printOptions horizontalCentered="1" verticalCentered="1"/>
  <pageMargins left="0.58" right="0.787401575" top="0.984251969" bottom="0.984251969" header="0.492125985" footer="0.49212598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BZ27"/>
  <sheetViews>
    <sheetView showGridLines="0" zoomScale="80" zoomScaleNormal="80" zoomScalePageLayoutView="0" workbookViewId="0" topLeftCell="A5">
      <selection activeCell="E8" sqref="E8"/>
    </sheetView>
  </sheetViews>
  <sheetFormatPr defaultColWidth="9.140625" defaultRowHeight="12.75"/>
  <cols>
    <col min="1" max="1" width="31.140625" style="19" customWidth="1"/>
    <col min="2" max="4" width="13.28125" style="19" customWidth="1"/>
    <col min="5" max="5" width="35.00390625" style="10" customWidth="1"/>
    <col min="6" max="6" width="21.00390625" style="10" customWidth="1"/>
    <col min="7" max="7" width="16.8515625" style="19" customWidth="1"/>
    <col min="8" max="8" width="15.7109375" style="19" customWidth="1"/>
    <col min="9" max="16384" width="9.140625" style="19" customWidth="1"/>
  </cols>
  <sheetData>
    <row r="1" spans="1:78" s="49" customFormat="1" ht="36" customHeight="1" thickBot="1">
      <c r="A1" s="109"/>
      <c r="B1" s="110"/>
      <c r="C1" s="110"/>
      <c r="D1" s="110"/>
      <c r="E1" s="110"/>
      <c r="F1" s="110"/>
      <c r="G1" s="111"/>
      <c r="H1" s="113"/>
      <c r="I1" s="44"/>
      <c r="J1" s="44"/>
      <c r="K1" s="44"/>
      <c r="L1" s="44"/>
      <c r="M1" s="44"/>
      <c r="N1" s="44"/>
      <c r="O1" s="44"/>
      <c r="P1" s="45"/>
      <c r="Q1" s="47"/>
      <c r="R1" s="47"/>
      <c r="S1" s="44"/>
      <c r="T1" s="44"/>
      <c r="U1" s="44"/>
      <c r="V1" s="45"/>
      <c r="W1" s="45"/>
      <c r="X1" s="46"/>
      <c r="Y1" s="47"/>
      <c r="Z1" s="47"/>
      <c r="AA1" s="47"/>
      <c r="AB1" s="44"/>
      <c r="AC1" s="44"/>
      <c r="AD1" s="44"/>
      <c r="AE1" s="44"/>
      <c r="AF1" s="44"/>
      <c r="AG1" s="44"/>
      <c r="AH1" s="44"/>
      <c r="AI1" s="45"/>
      <c r="AJ1" s="45"/>
      <c r="AK1" s="46"/>
      <c r="AL1" s="47"/>
      <c r="AM1" s="47"/>
      <c r="AN1" s="47"/>
      <c r="AO1" s="44"/>
      <c r="AP1" s="44"/>
      <c r="AQ1" s="44"/>
      <c r="AR1" s="44"/>
      <c r="AS1" s="44"/>
      <c r="AT1" s="44"/>
      <c r="AU1" s="44"/>
      <c r="AV1" s="45"/>
      <c r="AW1" s="45"/>
      <c r="AX1" s="46"/>
      <c r="AY1" s="47"/>
      <c r="AZ1" s="47"/>
      <c r="BA1" s="47"/>
      <c r="BB1" s="44"/>
      <c r="BC1" s="44"/>
      <c r="BD1" s="44"/>
      <c r="BE1" s="44"/>
      <c r="BF1" s="44"/>
      <c r="BG1" s="44"/>
      <c r="BH1" s="44"/>
      <c r="BI1" s="48"/>
      <c r="BJ1" s="48"/>
      <c r="BK1" s="48"/>
      <c r="BL1" s="48"/>
      <c r="BM1" s="48"/>
      <c r="BN1" s="48"/>
      <c r="BO1" s="48"/>
      <c r="BP1" s="48"/>
      <c r="BQ1" s="48"/>
      <c r="BR1" s="48"/>
      <c r="BS1" s="48"/>
      <c r="BT1" s="48"/>
      <c r="BU1" s="48"/>
      <c r="BV1" s="48"/>
      <c r="BW1" s="48"/>
      <c r="BX1" s="48"/>
      <c r="BY1" s="48"/>
      <c r="BZ1" s="48"/>
    </row>
    <row r="2" spans="1:8" s="9" customFormat="1" ht="16.5" thickBot="1">
      <c r="A2" s="1545" t="s">
        <v>203</v>
      </c>
      <c r="B2" s="1546"/>
      <c r="C2" s="1546"/>
      <c r="D2" s="1546"/>
      <c r="E2" s="1547"/>
      <c r="F2" s="1547"/>
      <c r="G2" s="1547"/>
      <c r="H2" s="1508"/>
    </row>
    <row r="3" spans="1:8" ht="75">
      <c r="A3" s="150" t="s">
        <v>204</v>
      </c>
      <c r="B3" s="150" t="s">
        <v>208</v>
      </c>
      <c r="C3" s="150" t="s">
        <v>575</v>
      </c>
      <c r="D3" s="150" t="s">
        <v>576</v>
      </c>
      <c r="E3" s="150" t="s">
        <v>205</v>
      </c>
      <c r="F3" s="150" t="s">
        <v>557</v>
      </c>
      <c r="G3" s="150" t="s">
        <v>206</v>
      </c>
      <c r="H3" s="203" t="s">
        <v>207</v>
      </c>
    </row>
    <row r="4" spans="1:8" ht="105">
      <c r="A4" s="922" t="s">
        <v>1318</v>
      </c>
      <c r="B4" s="140" t="s">
        <v>1319</v>
      </c>
      <c r="C4" s="140" t="s">
        <v>1320</v>
      </c>
      <c r="D4" s="140" t="s">
        <v>1321</v>
      </c>
      <c r="E4" s="922" t="s">
        <v>1330</v>
      </c>
      <c r="F4" s="922" t="s">
        <v>1322</v>
      </c>
      <c r="G4" s="922" t="s">
        <v>1323</v>
      </c>
      <c r="H4" s="1151">
        <v>40668</v>
      </c>
    </row>
    <row r="5" spans="1:8" ht="75">
      <c r="A5" s="922" t="s">
        <v>1324</v>
      </c>
      <c r="B5" s="140" t="s">
        <v>1325</v>
      </c>
      <c r="C5" s="140" t="s">
        <v>1326</v>
      </c>
      <c r="D5" s="140" t="s">
        <v>1327</v>
      </c>
      <c r="E5" s="922" t="s">
        <v>1328</v>
      </c>
      <c r="F5" s="922" t="s">
        <v>1329</v>
      </c>
      <c r="G5" s="922" t="s">
        <v>1323</v>
      </c>
      <c r="H5" s="1151">
        <v>40668</v>
      </c>
    </row>
    <row r="6" spans="1:8" ht="150">
      <c r="A6" s="922" t="s">
        <v>1318</v>
      </c>
      <c r="B6" s="140" t="s">
        <v>1319</v>
      </c>
      <c r="C6" s="140" t="s">
        <v>1320</v>
      </c>
      <c r="D6" s="140" t="s">
        <v>1321</v>
      </c>
      <c r="E6" s="922" t="s">
        <v>1343</v>
      </c>
      <c r="F6" s="922" t="s">
        <v>1335</v>
      </c>
      <c r="G6" s="922" t="s">
        <v>1323</v>
      </c>
      <c r="H6" s="1151">
        <v>40668</v>
      </c>
    </row>
    <row r="7" spans="1:8" ht="120">
      <c r="A7" s="922" t="s">
        <v>1318</v>
      </c>
      <c r="B7" s="140" t="s">
        <v>1319</v>
      </c>
      <c r="C7" s="140" t="s">
        <v>1320</v>
      </c>
      <c r="D7" s="140" t="s">
        <v>1321</v>
      </c>
      <c r="E7" s="922" t="s">
        <v>1337</v>
      </c>
      <c r="F7" s="922" t="s">
        <v>1338</v>
      </c>
      <c r="G7" s="922" t="s">
        <v>1323</v>
      </c>
      <c r="H7" s="1151">
        <v>40668</v>
      </c>
    </row>
    <row r="8" spans="1:8" ht="105">
      <c r="A8" s="922" t="s">
        <v>1318</v>
      </c>
      <c r="B8" s="140" t="s">
        <v>1319</v>
      </c>
      <c r="C8" s="140" t="s">
        <v>1320</v>
      </c>
      <c r="D8" s="140" t="s">
        <v>1321</v>
      </c>
      <c r="E8" s="1183" t="s">
        <v>1339</v>
      </c>
      <c r="F8" s="922" t="s">
        <v>1340</v>
      </c>
      <c r="G8" s="922" t="s">
        <v>1323</v>
      </c>
      <c r="H8" s="1151">
        <v>40668</v>
      </c>
    </row>
    <row r="9" spans="1:8" ht="150">
      <c r="A9" s="922" t="s">
        <v>1318</v>
      </c>
      <c r="B9" s="140" t="s">
        <v>1319</v>
      </c>
      <c r="C9" s="140" t="s">
        <v>1320</v>
      </c>
      <c r="D9" s="140" t="s">
        <v>1321</v>
      </c>
      <c r="E9" s="1183" t="s">
        <v>1352</v>
      </c>
      <c r="F9" s="922" t="s">
        <v>1335</v>
      </c>
      <c r="G9" s="922" t="s">
        <v>1323</v>
      </c>
      <c r="H9" s="1151">
        <v>40668</v>
      </c>
    </row>
    <row r="10" spans="1:8" ht="75">
      <c r="A10" s="922" t="s">
        <v>1318</v>
      </c>
      <c r="B10" s="140" t="s">
        <v>1362</v>
      </c>
      <c r="C10" s="140" t="s">
        <v>1320</v>
      </c>
      <c r="D10" s="140" t="s">
        <v>1321</v>
      </c>
      <c r="E10" s="922" t="s">
        <v>1363</v>
      </c>
      <c r="F10" s="922" t="s">
        <v>1364</v>
      </c>
      <c r="G10" s="922" t="s">
        <v>1323</v>
      </c>
      <c r="H10" s="1151">
        <v>40668</v>
      </c>
    </row>
    <row r="11" spans="1:8" ht="120">
      <c r="A11" s="922" t="s">
        <v>1318</v>
      </c>
      <c r="B11" s="140" t="s">
        <v>1319</v>
      </c>
      <c r="C11" s="140" t="s">
        <v>1320</v>
      </c>
      <c r="D11" s="140" t="s">
        <v>1321</v>
      </c>
      <c r="E11" s="922" t="s">
        <v>1366</v>
      </c>
      <c r="F11" s="922" t="s">
        <v>1391</v>
      </c>
      <c r="G11" s="922" t="s">
        <v>1323</v>
      </c>
      <c r="H11" s="1151">
        <v>40668</v>
      </c>
    </row>
    <row r="12" spans="1:8" ht="75">
      <c r="A12" s="922" t="s">
        <v>1318</v>
      </c>
      <c r="B12" s="140" t="s">
        <v>1319</v>
      </c>
      <c r="C12" s="140" t="s">
        <v>1320</v>
      </c>
      <c r="D12" s="140" t="s">
        <v>1321</v>
      </c>
      <c r="E12" s="1183" t="s">
        <v>1371</v>
      </c>
      <c r="F12" s="922" t="s">
        <v>1391</v>
      </c>
      <c r="G12" s="922" t="s">
        <v>1323</v>
      </c>
      <c r="H12" s="1151">
        <v>40668</v>
      </c>
    </row>
    <row r="13" spans="1:8" ht="135">
      <c r="A13" s="922" t="s">
        <v>1318</v>
      </c>
      <c r="B13" s="140" t="s">
        <v>1319</v>
      </c>
      <c r="C13" s="140" t="s">
        <v>1320</v>
      </c>
      <c r="D13" s="140" t="s">
        <v>1321</v>
      </c>
      <c r="E13" s="1183" t="s">
        <v>1388</v>
      </c>
      <c r="F13" s="922" t="s">
        <v>1340</v>
      </c>
      <c r="G13" s="922" t="s">
        <v>1323</v>
      </c>
      <c r="H13" s="1151">
        <v>40668</v>
      </c>
    </row>
    <row r="14" spans="1:8" ht="105">
      <c r="A14" s="922" t="s">
        <v>1318</v>
      </c>
      <c r="B14" s="140" t="s">
        <v>1319</v>
      </c>
      <c r="C14" s="140" t="s">
        <v>1320</v>
      </c>
      <c r="D14" s="140" t="s">
        <v>1321</v>
      </c>
      <c r="E14" s="922" t="s">
        <v>1390</v>
      </c>
      <c r="F14" s="922" t="s">
        <v>1391</v>
      </c>
      <c r="G14" s="922" t="s">
        <v>1323</v>
      </c>
      <c r="H14" s="1151">
        <v>40668</v>
      </c>
    </row>
    <row r="15" spans="1:8" ht="90">
      <c r="A15" s="922" t="s">
        <v>1318</v>
      </c>
      <c r="B15" s="140" t="s">
        <v>805</v>
      </c>
      <c r="C15" s="140" t="s">
        <v>1320</v>
      </c>
      <c r="D15" s="140" t="s">
        <v>1321</v>
      </c>
      <c r="E15" s="922" t="s">
        <v>1392</v>
      </c>
      <c r="F15" s="922" t="s">
        <v>1393</v>
      </c>
      <c r="G15" s="922" t="s">
        <v>1323</v>
      </c>
      <c r="H15" s="1151">
        <v>40668</v>
      </c>
    </row>
    <row r="16" spans="1:8" ht="90">
      <c r="A16" s="922" t="s">
        <v>1318</v>
      </c>
      <c r="B16" s="140" t="s">
        <v>1319</v>
      </c>
      <c r="C16" s="140" t="s">
        <v>1320</v>
      </c>
      <c r="D16" s="140" t="s">
        <v>1321</v>
      </c>
      <c r="E16" s="922" t="s">
        <v>1394</v>
      </c>
      <c r="F16" s="922" t="s">
        <v>1391</v>
      </c>
      <c r="G16" s="922" t="s">
        <v>1323</v>
      </c>
      <c r="H16" s="1151">
        <v>40668</v>
      </c>
    </row>
    <row r="17" spans="1:8" ht="90">
      <c r="A17" s="922" t="s">
        <v>1318</v>
      </c>
      <c r="B17" s="140" t="s">
        <v>1319</v>
      </c>
      <c r="C17" s="140" t="s">
        <v>1320</v>
      </c>
      <c r="D17" s="140" t="s">
        <v>1321</v>
      </c>
      <c r="E17" s="922" t="s">
        <v>1400</v>
      </c>
      <c r="F17" s="922" t="s">
        <v>1391</v>
      </c>
      <c r="G17" s="922" t="s">
        <v>1323</v>
      </c>
      <c r="H17" s="1151">
        <v>40668</v>
      </c>
    </row>
    <row r="18" spans="1:8" ht="75">
      <c r="A18" s="922" t="s">
        <v>1318</v>
      </c>
      <c r="B18" s="140" t="s">
        <v>1319</v>
      </c>
      <c r="C18" s="140" t="s">
        <v>1320</v>
      </c>
      <c r="D18" s="140" t="s">
        <v>1321</v>
      </c>
      <c r="E18" s="922" t="s">
        <v>1404</v>
      </c>
      <c r="F18" s="922" t="s">
        <v>1391</v>
      </c>
      <c r="G18" s="922" t="s">
        <v>1323</v>
      </c>
      <c r="H18" s="1151">
        <v>40668</v>
      </c>
    </row>
    <row r="19" spans="1:8" ht="90">
      <c r="A19" s="922" t="s">
        <v>1318</v>
      </c>
      <c r="B19" s="140" t="s">
        <v>805</v>
      </c>
      <c r="C19" s="140" t="s">
        <v>1320</v>
      </c>
      <c r="D19" s="140" t="s">
        <v>1321</v>
      </c>
      <c r="E19" s="922" t="s">
        <v>1408</v>
      </c>
      <c r="F19" s="922" t="s">
        <v>1391</v>
      </c>
      <c r="G19" s="922" t="s">
        <v>1323</v>
      </c>
      <c r="H19" s="1151">
        <v>40668</v>
      </c>
    </row>
    <row r="20" spans="1:8" ht="15">
      <c r="A20" s="148"/>
      <c r="B20" s="148"/>
      <c r="C20" s="148"/>
      <c r="D20" s="148"/>
      <c r="G20" s="148"/>
      <c r="H20" s="148"/>
    </row>
    <row r="21" spans="1:8" ht="15">
      <c r="A21" s="149"/>
      <c r="B21" s="149"/>
      <c r="C21" s="149"/>
      <c r="D21" s="149"/>
      <c r="G21" s="148"/>
      <c r="H21" s="148"/>
    </row>
    <row r="22" spans="1:8" ht="15">
      <c r="A22" s="149"/>
      <c r="B22" s="149"/>
      <c r="C22" s="148"/>
      <c r="D22" s="148"/>
      <c r="G22" s="148"/>
      <c r="H22" s="148"/>
    </row>
    <row r="23" spans="1:8" ht="15">
      <c r="A23" s="148"/>
      <c r="B23" s="149"/>
      <c r="C23" s="148"/>
      <c r="D23" s="148"/>
      <c r="G23" s="148"/>
      <c r="H23" s="148"/>
    </row>
    <row r="24" spans="1:8" ht="15">
      <c r="A24" s="148"/>
      <c r="B24" s="149"/>
      <c r="G24" s="148"/>
      <c r="H24" s="148"/>
    </row>
    <row r="25" ht="15">
      <c r="B25" s="141"/>
    </row>
    <row r="26" ht="15">
      <c r="B26" s="141"/>
    </row>
    <row r="27" ht="15">
      <c r="B27" s="141"/>
    </row>
  </sheetData>
  <sheetProtection/>
  <mergeCells count="1">
    <mergeCell ref="A2:H2"/>
  </mergeCells>
  <conditionalFormatting sqref="B4:D13 B19:D19">
    <cfRule type="cellIs" priority="4" dxfId="6" operator="equal" stopIfTrue="1">
      <formula>"Satisfatório"</formula>
    </cfRule>
  </conditionalFormatting>
  <conditionalFormatting sqref="B14:D15">
    <cfRule type="cellIs" priority="2" dxfId="6" operator="equal" stopIfTrue="1">
      <formula>"Satisfatório"</formula>
    </cfRule>
  </conditionalFormatting>
  <conditionalFormatting sqref="B16:D18">
    <cfRule type="cellIs" priority="1" dxfId="6" operator="equal" stopIfTrue="1">
      <formula>"Satisfatório"</formula>
    </cfRule>
  </conditionalFormatting>
  <dataValidations count="3">
    <dataValidation type="list" allowBlank="1" showInputMessage="1" showErrorMessage="1" sqref="D4:D19">
      <formula1>"Coordenador do Projeto, Legal/Mutuário, Legal/Garantidor"</formula1>
    </dataValidation>
    <dataValidation type="list" allowBlank="1" showInputMessage="1" showErrorMessage="1" sqref="C4:C19">
      <formula1>"Chefe de Equipe de Projeto,Representante,Legal/Diretoria,"</formula1>
    </dataValidation>
    <dataValidation type="list" allowBlank="1" showInputMessage="1" showErrorMessage="1" sqref="B4:B19">
      <formula1>"Resultado,Produto,Prazo,Financeiro,Fonte,Aquisição,Outros"</formula1>
    </dataValidation>
  </dataValidations>
  <printOptions horizontalCentered="1" verticalCentered="1"/>
  <pageMargins left="0.52" right="0.78740157480315" top="0.52" bottom="0.79" header="0.35" footer="0.32"/>
  <pageSetup horizontalDpi="300" verticalDpi="300" orientation="landscape" scale="77" r:id="rId4"/>
  <drawing r:id="rId3"/>
  <legacyDrawing r:id="rId2"/>
</worksheet>
</file>

<file path=xl/worksheets/sheet11.xml><?xml version="1.0" encoding="utf-8"?>
<worksheet xmlns="http://schemas.openxmlformats.org/spreadsheetml/2006/main" xmlns:r="http://schemas.openxmlformats.org/officeDocument/2006/relationships">
  <dimension ref="A1:BW15"/>
  <sheetViews>
    <sheetView showGridLines="0" zoomScale="81" zoomScaleNormal="81" zoomScalePageLayoutView="0" workbookViewId="0" topLeftCell="A4">
      <selection activeCell="C10" sqref="C10"/>
    </sheetView>
  </sheetViews>
  <sheetFormatPr defaultColWidth="9.140625" defaultRowHeight="12.75"/>
  <cols>
    <col min="1" max="1" width="28.7109375" style="19" customWidth="1"/>
    <col min="2" max="2" width="15.57421875" style="10" customWidth="1"/>
    <col min="3" max="3" width="86.57421875" style="19" customWidth="1"/>
    <col min="4" max="16384" width="9.140625" style="19" customWidth="1"/>
  </cols>
  <sheetData>
    <row r="1" spans="1:75" s="49" customFormat="1" ht="27" customHeight="1" thickBot="1">
      <c r="A1" s="109"/>
      <c r="B1" s="110"/>
      <c r="C1" s="113"/>
      <c r="D1" s="45"/>
      <c r="E1" s="44"/>
      <c r="F1" s="44"/>
      <c r="G1" s="44"/>
      <c r="H1" s="44"/>
      <c r="I1" s="44"/>
      <c r="J1" s="44"/>
      <c r="K1" s="44"/>
      <c r="L1" s="44"/>
      <c r="M1" s="45"/>
      <c r="N1" s="47"/>
      <c r="O1" s="47"/>
      <c r="P1" s="44"/>
      <c r="Q1" s="44"/>
      <c r="R1" s="44"/>
      <c r="S1" s="45"/>
      <c r="T1" s="45"/>
      <c r="U1" s="46"/>
      <c r="V1" s="47"/>
      <c r="W1" s="47"/>
      <c r="X1" s="47"/>
      <c r="Y1" s="44"/>
      <c r="Z1" s="44"/>
      <c r="AA1" s="44"/>
      <c r="AB1" s="44"/>
      <c r="AC1" s="44"/>
      <c r="AD1" s="44"/>
      <c r="AE1" s="44"/>
      <c r="AF1" s="45"/>
      <c r="AG1" s="45"/>
      <c r="AH1" s="46"/>
      <c r="AI1" s="47"/>
      <c r="AJ1" s="47"/>
      <c r="AK1" s="47"/>
      <c r="AL1" s="44"/>
      <c r="AM1" s="44"/>
      <c r="AN1" s="44"/>
      <c r="AO1" s="44"/>
      <c r="AP1" s="44"/>
      <c r="AQ1" s="44"/>
      <c r="AR1" s="44"/>
      <c r="AS1" s="45"/>
      <c r="AT1" s="45"/>
      <c r="AU1" s="46"/>
      <c r="AV1" s="47"/>
      <c r="AW1" s="47"/>
      <c r="AX1" s="47"/>
      <c r="AY1" s="44"/>
      <c r="AZ1" s="44"/>
      <c r="BA1" s="44"/>
      <c r="BB1" s="44"/>
      <c r="BC1" s="44"/>
      <c r="BD1" s="44"/>
      <c r="BE1" s="44"/>
      <c r="BF1" s="48"/>
      <c r="BG1" s="48"/>
      <c r="BH1" s="48"/>
      <c r="BI1" s="48"/>
      <c r="BJ1" s="48"/>
      <c r="BK1" s="48"/>
      <c r="BL1" s="48"/>
      <c r="BM1" s="48"/>
      <c r="BN1" s="48"/>
      <c r="BO1" s="48"/>
      <c r="BP1" s="48"/>
      <c r="BQ1" s="48"/>
      <c r="BR1" s="48"/>
      <c r="BS1" s="48"/>
      <c r="BT1" s="48"/>
      <c r="BU1" s="48"/>
      <c r="BV1" s="48"/>
      <c r="BW1" s="48"/>
    </row>
    <row r="2" spans="1:3" s="9" customFormat="1" ht="16.5" thickBot="1">
      <c r="A2" s="1505" t="s">
        <v>558</v>
      </c>
      <c r="B2" s="1506"/>
      <c r="C2" s="1508"/>
    </row>
    <row r="3" spans="1:3" s="10" customFormat="1" ht="15">
      <c r="A3" s="330" t="s">
        <v>34</v>
      </c>
      <c r="B3" s="154" t="s">
        <v>605</v>
      </c>
      <c r="C3" s="155" t="s">
        <v>38</v>
      </c>
    </row>
    <row r="4" spans="1:3" ht="54.75" customHeight="1">
      <c r="A4" s="1283" t="s">
        <v>448</v>
      </c>
      <c r="B4" s="1128" t="s">
        <v>449</v>
      </c>
      <c r="C4" s="1282" t="s">
        <v>486</v>
      </c>
    </row>
    <row r="5" spans="1:3" ht="38.25">
      <c r="A5" s="1127" t="s">
        <v>1244</v>
      </c>
      <c r="B5" s="1128" t="s">
        <v>1243</v>
      </c>
      <c r="C5" s="1129" t="s">
        <v>1247</v>
      </c>
    </row>
    <row r="6" spans="1:3" ht="38.25">
      <c r="A6" s="1127" t="s">
        <v>1248</v>
      </c>
      <c r="B6" s="1128" t="s">
        <v>1245</v>
      </c>
      <c r="C6" s="1129" t="s">
        <v>1246</v>
      </c>
    </row>
    <row r="7" spans="1:3" ht="32.25" customHeight="1">
      <c r="A7" s="1127" t="s">
        <v>1250</v>
      </c>
      <c r="B7" s="1128" t="s">
        <v>1249</v>
      </c>
      <c r="C7" s="1129" t="s">
        <v>1251</v>
      </c>
    </row>
    <row r="8" spans="1:3" ht="38.25">
      <c r="A8" s="1127" t="s">
        <v>1252</v>
      </c>
      <c r="B8" s="1128" t="s">
        <v>1253</v>
      </c>
      <c r="C8" s="1129" t="s">
        <v>1254</v>
      </c>
    </row>
    <row r="9" spans="1:3" ht="38.25">
      <c r="A9" s="1127" t="s">
        <v>1259</v>
      </c>
      <c r="B9" s="1128" t="s">
        <v>1255</v>
      </c>
      <c r="C9" s="1129" t="s">
        <v>1256</v>
      </c>
    </row>
    <row r="10" spans="1:3" ht="38.25">
      <c r="A10" s="1127" t="s">
        <v>1258</v>
      </c>
      <c r="B10" s="1128" t="s">
        <v>1243</v>
      </c>
      <c r="C10" s="1129" t="s">
        <v>1257</v>
      </c>
    </row>
    <row r="11" spans="1:3" ht="15">
      <c r="A11" s="131"/>
      <c r="B11" s="140"/>
      <c r="C11" s="152"/>
    </row>
    <row r="12" spans="1:3" ht="15">
      <c r="A12" s="131"/>
      <c r="B12" s="140"/>
      <c r="C12" s="152"/>
    </row>
    <row r="13" spans="1:3" ht="15">
      <c r="A13" s="131"/>
      <c r="B13" s="140"/>
      <c r="C13" s="152"/>
    </row>
    <row r="14" spans="1:3" ht="15">
      <c r="A14" s="131"/>
      <c r="B14" s="140"/>
      <c r="C14" s="152"/>
    </row>
    <row r="15" spans="1:3" ht="15.75" thickBot="1">
      <c r="A15" s="133"/>
      <c r="B15" s="143"/>
      <c r="C15" s="153"/>
    </row>
  </sheetData>
  <sheetProtection/>
  <mergeCells count="1">
    <mergeCell ref="A2:C2"/>
  </mergeCells>
  <conditionalFormatting sqref="B4:B15">
    <cfRule type="cellIs" priority="2" dxfId="6" operator="equal" stopIfTrue="1">
      <formula>"Sim"</formula>
    </cfRule>
  </conditionalFormatting>
  <conditionalFormatting sqref="B4">
    <cfRule type="cellIs" priority="1" dxfId="6" operator="equal" stopIfTrue="1">
      <formula>"Sim"</formula>
    </cfRule>
  </conditionalFormatting>
  <dataValidations count="1">
    <dataValidation type="list" allowBlank="1" showInputMessage="1" showErrorMessage="1" sqref="B4:B15">
      <formula1>"Desenho, Mecanismos Execução, Arranjo Institucional, Aspectos financeiros, Contratações e aquisições, Desempenho do BID, Desempenho da SEFAZ, Sustentabilidade "</formula1>
    </dataValidation>
  </dataValidations>
  <printOptions horizontalCentered="1" verticalCentered="1"/>
  <pageMargins left="0.59" right="0.78740157480315" top="0.72" bottom="0.62" header="0.35" footer="0.3"/>
  <pageSetup horizontalDpi="300" verticalDpi="300" orientation="landscape" scale="80" r:id="rId2"/>
  <drawing r:id="rId1"/>
</worksheet>
</file>

<file path=xl/worksheets/sheet12.xml><?xml version="1.0" encoding="utf-8"?>
<worksheet xmlns="http://schemas.openxmlformats.org/spreadsheetml/2006/main" xmlns:r="http://schemas.openxmlformats.org/officeDocument/2006/relationships">
  <dimension ref="A1:BU32"/>
  <sheetViews>
    <sheetView showGridLines="0" zoomScale="72" zoomScaleNormal="72" zoomScalePageLayoutView="0" workbookViewId="0" topLeftCell="A1">
      <pane xSplit="2" ySplit="6" topLeftCell="C19" activePane="bottomRight" state="frozen"/>
      <selection pane="topLeft" activeCell="A1" sqref="A1"/>
      <selection pane="topRight" activeCell="C1" sqref="C1"/>
      <selection pane="bottomLeft" activeCell="A7" sqref="A7"/>
      <selection pane="bottomRight" activeCell="J31" sqref="J31"/>
    </sheetView>
  </sheetViews>
  <sheetFormatPr defaultColWidth="9.140625" defaultRowHeight="12.75"/>
  <cols>
    <col min="1" max="1" width="6.00390625" style="19" customWidth="1"/>
    <col min="2" max="2" width="37.57421875" style="19" customWidth="1"/>
    <col min="3" max="3" width="18.7109375" style="19" customWidth="1"/>
    <col min="4" max="4" width="17.140625" style="19" customWidth="1"/>
    <col min="5" max="5" width="18.7109375" style="19" customWidth="1"/>
    <col min="6" max="7" width="18.140625" style="19" customWidth="1"/>
    <col min="8" max="8" width="17.8515625" style="19" customWidth="1"/>
    <col min="9" max="11" width="18.8515625" style="19" customWidth="1"/>
    <col min="12" max="14" width="9.140625" style="19" customWidth="1"/>
    <col min="15" max="15" width="14.7109375" style="19" bestFit="1" customWidth="1"/>
    <col min="16" max="16" width="7.421875" style="19" customWidth="1"/>
    <col min="17" max="17" width="13.7109375" style="19" customWidth="1"/>
    <col min="18" max="16384" width="9.140625" style="19" customWidth="1"/>
  </cols>
  <sheetData>
    <row r="1" spans="1:73" s="49" customFormat="1" ht="29.25" customHeight="1">
      <c r="A1" s="214"/>
      <c r="B1" s="217"/>
      <c r="C1" s="110"/>
      <c r="D1" s="110"/>
      <c r="E1" s="110"/>
      <c r="F1" s="111"/>
      <c r="G1" s="110"/>
      <c r="H1" s="110"/>
      <c r="I1" s="110"/>
      <c r="J1" s="110"/>
      <c r="K1" s="111"/>
      <c r="L1" s="112"/>
      <c r="M1" s="112"/>
      <c r="N1" s="113"/>
      <c r="O1" s="44"/>
      <c r="P1" s="44"/>
      <c r="Q1" s="45"/>
      <c r="R1" s="45"/>
      <c r="S1" s="46"/>
      <c r="T1" s="47"/>
      <c r="U1" s="47"/>
      <c r="V1" s="47"/>
      <c r="W1" s="44"/>
      <c r="X1" s="44"/>
      <c r="Y1" s="44"/>
      <c r="Z1" s="44"/>
      <c r="AA1" s="44"/>
      <c r="AB1" s="44"/>
      <c r="AC1" s="44"/>
      <c r="AD1" s="45"/>
      <c r="AE1" s="45"/>
      <c r="AF1" s="46"/>
      <c r="AG1" s="47"/>
      <c r="AH1" s="47"/>
      <c r="AI1" s="47"/>
      <c r="AJ1" s="44"/>
      <c r="AK1" s="44"/>
      <c r="AL1" s="44"/>
      <c r="AM1" s="44"/>
      <c r="AN1" s="44"/>
      <c r="AO1" s="44"/>
      <c r="AP1" s="44"/>
      <c r="AQ1" s="45"/>
      <c r="AR1" s="45"/>
      <c r="AS1" s="46"/>
      <c r="AT1" s="47"/>
      <c r="AU1" s="47"/>
      <c r="AV1" s="47"/>
      <c r="AW1" s="44"/>
      <c r="AX1" s="44"/>
      <c r="AY1" s="44"/>
      <c r="AZ1" s="44"/>
      <c r="BA1" s="44"/>
      <c r="BB1" s="44"/>
      <c r="BC1" s="44"/>
      <c r="BD1" s="48"/>
      <c r="BE1" s="48"/>
      <c r="BF1" s="48"/>
      <c r="BG1" s="48"/>
      <c r="BH1" s="48"/>
      <c r="BI1" s="48"/>
      <c r="BJ1" s="48"/>
      <c r="BK1" s="48"/>
      <c r="BL1" s="48"/>
      <c r="BM1" s="48"/>
      <c r="BN1" s="48"/>
      <c r="BO1" s="48"/>
      <c r="BP1" s="48"/>
      <c r="BQ1" s="48"/>
      <c r="BR1" s="48"/>
      <c r="BS1" s="48"/>
      <c r="BT1" s="48"/>
      <c r="BU1" s="48"/>
    </row>
    <row r="2" spans="1:16" s="9" customFormat="1" ht="15.75">
      <c r="A2" s="1553" t="s">
        <v>211</v>
      </c>
      <c r="B2" s="1553"/>
      <c r="C2" s="1553"/>
      <c r="D2" s="1553"/>
      <c r="E2" s="1553"/>
      <c r="F2" s="1553"/>
      <c r="G2" s="1553"/>
      <c r="H2" s="1553"/>
      <c r="I2" s="1553"/>
      <c r="J2" s="1553"/>
      <c r="K2" s="1553"/>
      <c r="L2" s="1553"/>
      <c r="M2" s="1553"/>
      <c r="N2" s="1553"/>
      <c r="P2" s="487"/>
    </row>
    <row r="3" spans="1:16" ht="15.75" thickBot="1">
      <c r="A3" s="215" t="s">
        <v>221</v>
      </c>
      <c r="B3" s="215"/>
      <c r="C3" s="167"/>
      <c r="D3" s="167"/>
      <c r="E3" s="167"/>
      <c r="F3" s="167"/>
      <c r="G3" s="167"/>
      <c r="H3" s="167"/>
      <c r="I3" s="167"/>
      <c r="J3" s="167"/>
      <c r="K3" s="167"/>
      <c r="L3" s="167"/>
      <c r="M3" s="167"/>
      <c r="N3" s="216">
        <v>1</v>
      </c>
      <c r="P3" s="485"/>
    </row>
    <row r="4" spans="1:14" s="992" customFormat="1" ht="12.75">
      <c r="A4" s="1555" t="s">
        <v>589</v>
      </c>
      <c r="B4" s="1026" t="s">
        <v>58</v>
      </c>
      <c r="C4" s="1550" t="s">
        <v>75</v>
      </c>
      <c r="D4" s="1550"/>
      <c r="E4" s="1550"/>
      <c r="F4" s="1550" t="s">
        <v>73</v>
      </c>
      <c r="G4" s="1550"/>
      <c r="H4" s="1550"/>
      <c r="I4" s="1550" t="s">
        <v>74</v>
      </c>
      <c r="J4" s="1550"/>
      <c r="K4" s="1550"/>
      <c r="L4" s="1550" t="s">
        <v>76</v>
      </c>
      <c r="M4" s="1550"/>
      <c r="N4" s="1554"/>
    </row>
    <row r="5" spans="1:17" s="992" customFormat="1" ht="12.75">
      <c r="A5" s="1556"/>
      <c r="B5" s="1027" t="s">
        <v>67</v>
      </c>
      <c r="C5" s="1028" t="s">
        <v>68</v>
      </c>
      <c r="D5" s="1028" t="s">
        <v>69</v>
      </c>
      <c r="E5" s="1029" t="s">
        <v>57</v>
      </c>
      <c r="F5" s="1029" t="s">
        <v>55</v>
      </c>
      <c r="G5" s="1029" t="s">
        <v>69</v>
      </c>
      <c r="H5" s="1029" t="s">
        <v>57</v>
      </c>
      <c r="I5" s="1029" t="s">
        <v>55</v>
      </c>
      <c r="J5" s="1029" t="s">
        <v>69</v>
      </c>
      <c r="K5" s="1029" t="s">
        <v>57</v>
      </c>
      <c r="L5" s="1029" t="s">
        <v>55</v>
      </c>
      <c r="M5" s="1029" t="s">
        <v>69</v>
      </c>
      <c r="N5" s="1030" t="s">
        <v>57</v>
      </c>
      <c r="P5" s="1031"/>
      <c r="Q5" s="1031"/>
    </row>
    <row r="6" spans="1:17" s="1039" customFormat="1" ht="12.75">
      <c r="A6" s="1032">
        <v>1</v>
      </c>
      <c r="B6" s="1033" t="s">
        <v>624</v>
      </c>
      <c r="C6" s="1034">
        <f>SUM(C7:C8)</f>
        <v>345000.6</v>
      </c>
      <c r="D6" s="1034">
        <f>SUM(D7:D8)</f>
        <v>100000.8</v>
      </c>
      <c r="E6" s="1035">
        <f>C6+D6</f>
        <v>445001.39999999997</v>
      </c>
      <c r="F6" s="1034">
        <f>SUM(F7:F8)</f>
        <v>345000.6</v>
      </c>
      <c r="G6" s="1034">
        <f>SUM(G7:G8)</f>
        <v>100000.8</v>
      </c>
      <c r="H6" s="1035">
        <f aca="true" t="shared" si="0" ref="H6:H16">(F6+G6)</f>
        <v>445001.39999999997</v>
      </c>
      <c r="I6" s="1034">
        <f>SUM(I7:I8)</f>
        <v>0</v>
      </c>
      <c r="J6" s="1034">
        <f>SUM(J7:J8)</f>
        <v>0</v>
      </c>
      <c r="K6" s="1036">
        <f aca="true" t="shared" si="1" ref="K6:K14">(I6+J6)</f>
        <v>0</v>
      </c>
      <c r="L6" s="1037">
        <f>I6/F6</f>
        <v>0</v>
      </c>
      <c r="M6" s="1037">
        <f>J6/G6</f>
        <v>0</v>
      </c>
      <c r="N6" s="1038">
        <f>K6/H6</f>
        <v>0</v>
      </c>
      <c r="Q6" s="1040"/>
    </row>
    <row r="7" spans="1:17" s="992" customFormat="1" ht="12.75">
      <c r="A7" s="1041" t="s">
        <v>246</v>
      </c>
      <c r="B7" s="1042" t="s">
        <v>233</v>
      </c>
      <c r="C7" s="1043">
        <v>145000.8</v>
      </c>
      <c r="D7" s="1043">
        <v>100000.8</v>
      </c>
      <c r="E7" s="1044">
        <f>C7+D7</f>
        <v>245001.59999999998</v>
      </c>
      <c r="F7" s="1043">
        <v>145000.8</v>
      </c>
      <c r="G7" s="1043">
        <v>100000.8</v>
      </c>
      <c r="H7" s="1044">
        <f t="shared" si="0"/>
        <v>245001.59999999998</v>
      </c>
      <c r="I7" s="1045"/>
      <c r="J7" s="1045"/>
      <c r="K7" s="1046">
        <f t="shared" si="1"/>
        <v>0</v>
      </c>
      <c r="L7" s="1047"/>
      <c r="M7" s="1047"/>
      <c r="N7" s="1048">
        <f aca="true" t="shared" si="2" ref="N7:N14">(L7+M7)</f>
        <v>0</v>
      </c>
      <c r="Q7" s="1049"/>
    </row>
    <row r="8" spans="1:16" s="992" customFormat="1" ht="12.75">
      <c r="A8" s="1050" t="s">
        <v>247</v>
      </c>
      <c r="B8" s="1042" t="s">
        <v>553</v>
      </c>
      <c r="C8" s="1051">
        <v>199999.8</v>
      </c>
      <c r="D8" s="1051">
        <v>0</v>
      </c>
      <c r="E8" s="1052">
        <f aca="true" t="shared" si="3" ref="E8:E16">C8+D8</f>
        <v>199999.8</v>
      </c>
      <c r="F8" s="1051">
        <v>199999.8</v>
      </c>
      <c r="G8" s="1051">
        <v>0</v>
      </c>
      <c r="H8" s="1052">
        <f t="shared" si="0"/>
        <v>199999.8</v>
      </c>
      <c r="I8" s="1053"/>
      <c r="J8" s="1053"/>
      <c r="K8" s="1054">
        <f t="shared" si="1"/>
        <v>0</v>
      </c>
      <c r="L8" s="1055"/>
      <c r="M8" s="1055"/>
      <c r="N8" s="1056">
        <f t="shared" si="2"/>
        <v>0</v>
      </c>
      <c r="P8" s="1049"/>
    </row>
    <row r="9" spans="1:16" s="992" customFormat="1" ht="12.75">
      <c r="A9" s="1057">
        <v>2</v>
      </c>
      <c r="B9" s="1058" t="s">
        <v>225</v>
      </c>
      <c r="C9" s="1059">
        <f>SUM(C10:C13)</f>
        <v>72172017</v>
      </c>
      <c r="D9" s="1059">
        <f>SUM(D10:D13)</f>
        <v>13962137.4</v>
      </c>
      <c r="E9" s="1052">
        <f t="shared" si="3"/>
        <v>86134154.4</v>
      </c>
      <c r="F9" s="1059">
        <f>SUM(F10:F13)</f>
        <v>72172017</v>
      </c>
      <c r="G9" s="1059">
        <f>SUM(G10:G13)</f>
        <v>13962137.4</v>
      </c>
      <c r="H9" s="1052">
        <f t="shared" si="0"/>
        <v>86134154.4</v>
      </c>
      <c r="I9" s="1059">
        <f>SUM(I10:I13)</f>
        <v>4850222.100000001</v>
      </c>
      <c r="J9" s="1059">
        <f>SUM(J10:J13)</f>
        <v>3919736.1100000003</v>
      </c>
      <c r="K9" s="1052">
        <f>(I9+J9)</f>
        <v>8769958.21</v>
      </c>
      <c r="L9" s="1060">
        <f>I9/F9</f>
        <v>0.06720363794183555</v>
      </c>
      <c r="M9" s="1060">
        <f>J9/G9</f>
        <v>0.280740405118775</v>
      </c>
      <c r="N9" s="1056">
        <f>K9/H9</f>
        <v>0.1018174296954612</v>
      </c>
      <c r="P9" s="1031"/>
    </row>
    <row r="10" spans="1:16" s="992" customFormat="1" ht="52.5" customHeight="1">
      <c r="A10" s="1050" t="s">
        <v>248</v>
      </c>
      <c r="B10" s="1061" t="str">
        <f>'4. Situação e Plano Ação'!B10:K10</f>
        <v>GESTÃO ESTRATÉGICA INTEGRADA/INTEGRAÇÃO DA GESTÃO FAZENDÁRIA</v>
      </c>
      <c r="C10" s="1062">
        <v>248000.4</v>
      </c>
      <c r="D10" s="1062">
        <v>0</v>
      </c>
      <c r="E10" s="1054">
        <f t="shared" si="3"/>
        <v>248000.4</v>
      </c>
      <c r="F10" s="1062">
        <v>248000.4</v>
      </c>
      <c r="G10" s="1062">
        <v>0</v>
      </c>
      <c r="H10" s="1052">
        <f t="shared" si="0"/>
        <v>248000.4</v>
      </c>
      <c r="I10" s="1063"/>
      <c r="J10" s="1063"/>
      <c r="K10" s="1052">
        <f t="shared" si="1"/>
        <v>0</v>
      </c>
      <c r="L10" s="1055"/>
      <c r="M10" s="1064"/>
      <c r="N10" s="1056">
        <f t="shared" si="2"/>
        <v>0</v>
      </c>
      <c r="P10" s="1031"/>
    </row>
    <row r="11" spans="1:17" s="992" customFormat="1" ht="25.5">
      <c r="A11" s="1050" t="s">
        <v>249</v>
      </c>
      <c r="B11" s="1061" t="str">
        <f>'4. Situação e Plano Ação'!B15:K15</f>
        <v>ADMINISTRAÇÃO TRIBUTÁRIA E CONTENCIOSO FISCAL</v>
      </c>
      <c r="C11" s="1062">
        <v>51842824.2</v>
      </c>
      <c r="D11" s="1062">
        <v>13462138.8</v>
      </c>
      <c r="E11" s="1052">
        <f t="shared" si="3"/>
        <v>65304963</v>
      </c>
      <c r="F11" s="1062">
        <v>51842824.2</v>
      </c>
      <c r="G11" s="1062">
        <v>13462138.8</v>
      </c>
      <c r="H11" s="1052">
        <f t="shared" si="0"/>
        <v>65304963</v>
      </c>
      <c r="I11" s="1063"/>
      <c r="J11" s="1063">
        <f>612181+101144.45+52.2+2908.63+752304.62+21692.29+21707+8170.25+8155.29+8170.25+400000</f>
        <v>1936485.98</v>
      </c>
      <c r="K11" s="1054">
        <f t="shared" si="1"/>
        <v>1936485.98</v>
      </c>
      <c r="L11" s="1065"/>
      <c r="M11" s="1065"/>
      <c r="N11" s="1056">
        <f t="shared" si="2"/>
        <v>0</v>
      </c>
      <c r="O11" s="1031"/>
      <c r="P11" s="1031"/>
      <c r="Q11" s="1031"/>
    </row>
    <row r="12" spans="1:17" s="992" customFormat="1" ht="38.25">
      <c r="A12" s="1050" t="s">
        <v>250</v>
      </c>
      <c r="B12" s="1061" t="str">
        <f>'4. Situação e Plano Ação'!B31:K31</f>
        <v>ADMINISTRAÇÃO FINANCEIRA, PATRIMONIAL E CONTROLE INTERNO (GESTÃO FISCAL)</v>
      </c>
      <c r="C12" s="1062">
        <v>2002840.2</v>
      </c>
      <c r="D12" s="1062">
        <v>0</v>
      </c>
      <c r="E12" s="1052">
        <f t="shared" si="3"/>
        <v>2002840.2</v>
      </c>
      <c r="F12" s="1062">
        <v>2002840.2</v>
      </c>
      <c r="G12" s="1062">
        <v>0</v>
      </c>
      <c r="H12" s="1052">
        <f t="shared" si="0"/>
        <v>2002840.2</v>
      </c>
      <c r="I12" s="1063">
        <v>49900</v>
      </c>
      <c r="J12" s="1063"/>
      <c r="K12" s="1052">
        <f t="shared" si="1"/>
        <v>49900</v>
      </c>
      <c r="L12" s="1065"/>
      <c r="M12" s="1066"/>
      <c r="N12" s="1056">
        <f t="shared" si="2"/>
        <v>0</v>
      </c>
      <c r="O12" s="1049"/>
      <c r="P12" s="1031"/>
      <c r="Q12" s="1031"/>
    </row>
    <row r="13" spans="1:16" s="992" customFormat="1" ht="34.5" customHeight="1">
      <c r="A13" s="1050" t="s">
        <v>251</v>
      </c>
      <c r="B13" s="1061" t="str">
        <f>'4. Situação e Plano Ação'!B37:K37</f>
        <v>GESTÃO DE RECUROS ESTRATÉGICOS/CORPORATIVOS</v>
      </c>
      <c r="C13" s="1062">
        <v>18078352.2</v>
      </c>
      <c r="D13" s="1062">
        <v>499998.6</v>
      </c>
      <c r="E13" s="1052">
        <f t="shared" si="3"/>
        <v>18578350.8</v>
      </c>
      <c r="F13" s="1062">
        <v>18078352.2</v>
      </c>
      <c r="G13" s="1062">
        <v>499998.6</v>
      </c>
      <c r="H13" s="1052">
        <f t="shared" si="0"/>
        <v>18578350.8</v>
      </c>
      <c r="I13" s="1063">
        <f>(2500000+304155.79+136326)+41684.72+22934+26158.96+704211.93+441079.86+80491+263033+144000+91556.36+17690.48+27000</f>
        <v>4800322.100000001</v>
      </c>
      <c r="J13" s="1063">
        <f>314222.2+12644.02+126403.2+1472510.41+44900+12570.3</f>
        <v>1983250.1300000001</v>
      </c>
      <c r="K13" s="1054">
        <f t="shared" si="1"/>
        <v>6783572.23</v>
      </c>
      <c r="L13" s="1065"/>
      <c r="M13" s="1065"/>
      <c r="N13" s="1056">
        <f t="shared" si="2"/>
        <v>0</v>
      </c>
      <c r="O13" s="1031"/>
      <c r="P13" s="1049"/>
    </row>
    <row r="14" spans="1:14" s="992" customFormat="1" ht="12.75">
      <c r="A14" s="1057">
        <v>3</v>
      </c>
      <c r="B14" s="1058" t="s">
        <v>625</v>
      </c>
      <c r="C14" s="1062">
        <v>1282982.4</v>
      </c>
      <c r="D14" s="1062">
        <v>2137861.8</v>
      </c>
      <c r="E14" s="1052">
        <f t="shared" si="3"/>
        <v>3420844.1999999997</v>
      </c>
      <c r="F14" s="1062">
        <v>1282982.4</v>
      </c>
      <c r="G14" s="1062">
        <v>2137861.8</v>
      </c>
      <c r="H14" s="1052">
        <f t="shared" si="0"/>
        <v>3420844.1999999997</v>
      </c>
      <c r="I14" s="1067"/>
      <c r="J14" s="1067"/>
      <c r="K14" s="1054">
        <f t="shared" si="1"/>
        <v>0</v>
      </c>
      <c r="L14" s="1065"/>
      <c r="M14" s="1065"/>
      <c r="N14" s="1056">
        <f t="shared" si="2"/>
        <v>0</v>
      </c>
    </row>
    <row r="15" spans="1:16" s="992" customFormat="1" ht="12.75">
      <c r="A15" s="1548"/>
      <c r="B15" s="1068" t="s">
        <v>57</v>
      </c>
      <c r="C15" s="1052">
        <f>SUM(C6+C9+C14)</f>
        <v>73800000</v>
      </c>
      <c r="D15" s="1052">
        <f aca="true" t="shared" si="4" ref="D15:J15">SUM(D6+D9+D14)</f>
        <v>16200000</v>
      </c>
      <c r="E15" s="1052">
        <f t="shared" si="4"/>
        <v>90000000.00000001</v>
      </c>
      <c r="F15" s="1052">
        <f>SUM(F6+F9+F14)</f>
        <v>73800000</v>
      </c>
      <c r="G15" s="1052">
        <f>SUM(G6+G9+G14)</f>
        <v>16200000</v>
      </c>
      <c r="H15" s="1052">
        <f t="shared" si="4"/>
        <v>90000000.00000001</v>
      </c>
      <c r="I15" s="1052">
        <f>SUM(I6+I9+I14)</f>
        <v>4850222.100000001</v>
      </c>
      <c r="J15" s="1052">
        <f t="shared" si="4"/>
        <v>3919736.1100000003</v>
      </c>
      <c r="K15" s="1052">
        <f>SUM(K6+K9+K14)</f>
        <v>8769958.21</v>
      </c>
      <c r="L15" s="1069">
        <f>I15/F15</f>
        <v>0.06572116666666668</v>
      </c>
      <c r="M15" s="1069">
        <f>J15/G15</f>
        <v>0.24195901913580248</v>
      </c>
      <c r="N15" s="1056">
        <f>K15/H15</f>
        <v>0.0974439801111111</v>
      </c>
      <c r="O15" s="1049"/>
      <c r="P15" s="1031"/>
    </row>
    <row r="16" spans="1:14" s="992" customFormat="1" ht="13.5" thickBot="1">
      <c r="A16" s="1549"/>
      <c r="B16" s="1070" t="s">
        <v>71</v>
      </c>
      <c r="C16" s="1071">
        <f>C15/E15</f>
        <v>0.8199999999999998</v>
      </c>
      <c r="D16" s="1071">
        <f>D15/E15</f>
        <v>0.17999999999999997</v>
      </c>
      <c r="E16" s="1071">
        <f t="shared" si="3"/>
        <v>0.9999999999999998</v>
      </c>
      <c r="F16" s="1071">
        <f>F15/H15</f>
        <v>0.8199999999999998</v>
      </c>
      <c r="G16" s="1071">
        <f>G15/H15</f>
        <v>0.17999999999999997</v>
      </c>
      <c r="H16" s="1072">
        <f t="shared" si="0"/>
        <v>0.9999999999999998</v>
      </c>
      <c r="I16" s="1071">
        <f>I15/K15</f>
        <v>0.5530496250791143</v>
      </c>
      <c r="J16" s="1071">
        <f>J15/K15</f>
        <v>0.44695037492088574</v>
      </c>
      <c r="K16" s="1071">
        <f>(I16+J16)</f>
        <v>1</v>
      </c>
      <c r="L16" s="1071"/>
      <c r="M16" s="1071"/>
      <c r="N16" s="1073"/>
    </row>
    <row r="17" spans="1:17" s="992" customFormat="1" ht="12.75">
      <c r="A17" s="1074"/>
      <c r="B17" s="1074"/>
      <c r="C17" s="1075"/>
      <c r="D17" s="1075"/>
      <c r="E17" s="1075"/>
      <c r="F17" s="1075"/>
      <c r="G17" s="1075"/>
      <c r="H17" s="1075"/>
      <c r="I17" s="1075"/>
      <c r="J17" s="1075"/>
      <c r="K17" s="1075"/>
      <c r="L17" s="1075"/>
      <c r="M17" s="1075"/>
      <c r="N17" s="1076"/>
      <c r="P17" s="1031"/>
      <c r="Q17" s="1049"/>
    </row>
    <row r="18" spans="1:14" s="992" customFormat="1" ht="13.5" thickBot="1">
      <c r="A18" s="1077"/>
      <c r="B18" s="1077"/>
      <c r="C18" s="1039"/>
      <c r="D18" s="1039"/>
      <c r="E18" s="1039"/>
      <c r="F18" s="1039"/>
      <c r="G18" s="1039"/>
      <c r="H18" s="1039"/>
      <c r="I18" s="1039"/>
      <c r="J18" s="1039"/>
      <c r="K18" s="1039"/>
      <c r="L18" s="1039"/>
      <c r="M18" s="1039"/>
      <c r="N18" s="1078"/>
    </row>
    <row r="19" spans="1:17" s="992" customFormat="1" ht="13.5" thickBot="1">
      <c r="A19" s="1079" t="s">
        <v>221</v>
      </c>
      <c r="B19" s="1079"/>
      <c r="C19" s="1080"/>
      <c r="D19" s="1080"/>
      <c r="E19" s="1080"/>
      <c r="F19" s="1080"/>
      <c r="G19" s="1080"/>
      <c r="H19" s="1080"/>
      <c r="I19" s="1080"/>
      <c r="J19" s="1080"/>
      <c r="K19" s="1080"/>
      <c r="L19" s="1080"/>
      <c r="M19" s="1080"/>
      <c r="N19" s="1081" t="s">
        <v>78</v>
      </c>
      <c r="P19" s="1031"/>
      <c r="Q19" s="1049"/>
    </row>
    <row r="20" spans="1:14" s="992" customFormat="1" ht="12.75">
      <c r="A20" s="1555" t="s">
        <v>589</v>
      </c>
      <c r="B20" s="1082" t="s">
        <v>58</v>
      </c>
      <c r="C20" s="1551" t="s">
        <v>75</v>
      </c>
      <c r="D20" s="1551"/>
      <c r="E20" s="1551"/>
      <c r="F20" s="1551" t="s">
        <v>73</v>
      </c>
      <c r="G20" s="1551"/>
      <c r="H20" s="1551"/>
      <c r="I20" s="1551" t="s">
        <v>74</v>
      </c>
      <c r="J20" s="1551"/>
      <c r="K20" s="1551"/>
      <c r="L20" s="1551" t="s">
        <v>76</v>
      </c>
      <c r="M20" s="1551"/>
      <c r="N20" s="1552"/>
    </row>
    <row r="21" spans="1:14" s="992" customFormat="1" ht="12.75">
      <c r="A21" s="1556"/>
      <c r="B21" s="1027" t="s">
        <v>67</v>
      </c>
      <c r="C21" s="1028" t="s">
        <v>68</v>
      </c>
      <c r="D21" s="1028" t="s">
        <v>69</v>
      </c>
      <c r="E21" s="1029" t="s">
        <v>57</v>
      </c>
      <c r="F21" s="1029" t="s">
        <v>55</v>
      </c>
      <c r="G21" s="1029" t="s">
        <v>69</v>
      </c>
      <c r="H21" s="1029" t="s">
        <v>57</v>
      </c>
      <c r="I21" s="1029" t="s">
        <v>55</v>
      </c>
      <c r="J21" s="1029" t="s">
        <v>69</v>
      </c>
      <c r="K21" s="1029" t="s">
        <v>57</v>
      </c>
      <c r="L21" s="1029" t="s">
        <v>55</v>
      </c>
      <c r="M21" s="1029" t="s">
        <v>69</v>
      </c>
      <c r="N21" s="1030" t="s">
        <v>57</v>
      </c>
    </row>
    <row r="22" spans="1:14" s="992" customFormat="1" ht="12.75">
      <c r="A22" s="1057">
        <v>1</v>
      </c>
      <c r="B22" s="1058" t="s">
        <v>624</v>
      </c>
      <c r="C22" s="1059">
        <f>SUM(C23:C24)</f>
        <v>191667</v>
      </c>
      <c r="D22" s="1059">
        <f>SUM(D23:D24)</f>
        <v>55556</v>
      </c>
      <c r="E22" s="1052">
        <f>C22+D22</f>
        <v>247223</v>
      </c>
      <c r="F22" s="1059">
        <f>SUM(F23:F24)</f>
        <v>191667</v>
      </c>
      <c r="G22" s="1059">
        <f>SUM(G23:G24)</f>
        <v>55556</v>
      </c>
      <c r="H22" s="1052">
        <f>F22+G22</f>
        <v>247223</v>
      </c>
      <c r="I22" s="1083"/>
      <c r="J22" s="1083"/>
      <c r="K22" s="1084">
        <f aca="true" t="shared" si="5" ref="K22:K30">(I22+J22)</f>
        <v>0</v>
      </c>
      <c r="L22" s="1060">
        <f>I22/F22</f>
        <v>0</v>
      </c>
      <c r="M22" s="1060">
        <f>J22/G22</f>
        <v>0</v>
      </c>
      <c r="N22" s="1056">
        <f>K22/H22</f>
        <v>0</v>
      </c>
    </row>
    <row r="23" spans="1:14" s="992" customFormat="1" ht="12.75">
      <c r="A23" s="1050" t="s">
        <v>246</v>
      </c>
      <c r="B23" s="1085" t="str">
        <f>B7</f>
        <v>Gestão do Projeto</v>
      </c>
      <c r="C23" s="1051">
        <v>80556</v>
      </c>
      <c r="D23" s="1051">
        <v>55556</v>
      </c>
      <c r="E23" s="1052">
        <f>C23+D23</f>
        <v>136112</v>
      </c>
      <c r="F23" s="1051">
        <v>80556</v>
      </c>
      <c r="G23" s="1051">
        <v>55556</v>
      </c>
      <c r="H23" s="1052">
        <f>F23+G23</f>
        <v>136112</v>
      </c>
      <c r="I23" s="1086"/>
      <c r="J23" s="1086"/>
      <c r="K23" s="1087">
        <f t="shared" si="5"/>
        <v>0</v>
      </c>
      <c r="L23" s="1055"/>
      <c r="M23" s="1055"/>
      <c r="N23" s="1056"/>
    </row>
    <row r="24" spans="1:14" s="992" customFormat="1" ht="12.75">
      <c r="A24" s="1050" t="s">
        <v>247</v>
      </c>
      <c r="B24" s="1085" t="str">
        <f>B8</f>
        <v>Monitoramento e Avaliação</v>
      </c>
      <c r="C24" s="1051">
        <v>111111</v>
      </c>
      <c r="D24" s="1051">
        <v>0</v>
      </c>
      <c r="E24" s="1052">
        <f aca="true" t="shared" si="6" ref="E24:E30">C24+D24</f>
        <v>111111</v>
      </c>
      <c r="F24" s="1051">
        <v>111111</v>
      </c>
      <c r="G24" s="1051">
        <v>0</v>
      </c>
      <c r="H24" s="1052">
        <f aca="true" t="shared" si="7" ref="H24:H30">F24+G24</f>
        <v>111111</v>
      </c>
      <c r="I24" s="1086"/>
      <c r="J24" s="1086"/>
      <c r="K24" s="1087">
        <f t="shared" si="5"/>
        <v>0</v>
      </c>
      <c r="L24" s="1055"/>
      <c r="M24" s="1055"/>
      <c r="N24" s="1056"/>
    </row>
    <row r="25" spans="1:14" s="992" customFormat="1" ht="12.75">
      <c r="A25" s="1057">
        <v>2</v>
      </c>
      <c r="B25" s="1058" t="s">
        <v>225</v>
      </c>
      <c r="C25" s="1059">
        <f>SUM(C26:C29)</f>
        <v>40095565</v>
      </c>
      <c r="D25" s="1059">
        <f>SUM(D26:D29)</f>
        <v>7756743</v>
      </c>
      <c r="E25" s="1052">
        <f t="shared" si="6"/>
        <v>47852308</v>
      </c>
      <c r="F25" s="1059">
        <f>SUM(F26:F29)</f>
        <v>40095565</v>
      </c>
      <c r="G25" s="1059">
        <f>SUM(G26:G29)</f>
        <v>7756743</v>
      </c>
      <c r="H25" s="1052">
        <f t="shared" si="7"/>
        <v>47852308</v>
      </c>
      <c r="I25" s="1088">
        <f>SUM(I26:I29)</f>
        <v>2835447.1699999995</v>
      </c>
      <c r="J25" s="1088">
        <f>SUM(J26:J29)</f>
        <v>2281533.19</v>
      </c>
      <c r="K25" s="1087">
        <f t="shared" si="5"/>
        <v>5116980.359999999</v>
      </c>
      <c r="L25" s="1060">
        <f>I25/F25</f>
        <v>0.07071722695515076</v>
      </c>
      <c r="M25" s="1060">
        <f>J25/G25</f>
        <v>0.2941354625259597</v>
      </c>
      <c r="N25" s="1056">
        <f>K25/H25</f>
        <v>0.10693278075531903</v>
      </c>
    </row>
    <row r="26" spans="1:14" s="992" customFormat="1" ht="38.25">
      <c r="A26" s="1050" t="s">
        <v>248</v>
      </c>
      <c r="B26" s="1085" t="str">
        <f>B10</f>
        <v>GESTÃO ESTRATÉGICA INTEGRADA/INTEGRAÇÃO DA GESTÃO FAZENDÁRIA</v>
      </c>
      <c r="C26" s="1051">
        <v>137778</v>
      </c>
      <c r="D26" s="1051">
        <v>0</v>
      </c>
      <c r="E26" s="1052">
        <f t="shared" si="6"/>
        <v>137778</v>
      </c>
      <c r="F26" s="1270">
        <v>137778</v>
      </c>
      <c r="G26" s="1051">
        <v>0</v>
      </c>
      <c r="H26" s="1052">
        <f t="shared" si="7"/>
        <v>137778</v>
      </c>
      <c r="I26" s="1086"/>
      <c r="J26" s="1086"/>
      <c r="K26" s="1087">
        <f t="shared" si="5"/>
        <v>0</v>
      </c>
      <c r="L26" s="1055"/>
      <c r="M26" s="1064"/>
      <c r="N26" s="1056"/>
    </row>
    <row r="27" spans="1:15" s="992" customFormat="1" ht="25.5">
      <c r="A27" s="1050" t="s">
        <v>249</v>
      </c>
      <c r="B27" s="1085" t="str">
        <f>B11</f>
        <v>ADMINISTRAÇÃO TRIBUTÁRIA E CONTENCIOSO FISCAL</v>
      </c>
      <c r="C27" s="1051">
        <v>28801569</v>
      </c>
      <c r="D27" s="1051">
        <v>7478966</v>
      </c>
      <c r="E27" s="1052">
        <f t="shared" si="6"/>
        <v>36280535</v>
      </c>
      <c r="F27" s="1051">
        <v>28801569</v>
      </c>
      <c r="G27" s="1051">
        <v>7478966</v>
      </c>
      <c r="H27" s="1052">
        <f t="shared" si="7"/>
        <v>36280535</v>
      </c>
      <c r="I27" s="1089"/>
      <c r="J27" s="1089">
        <f>358251.87+57289.41+29.57+1647.48+426114.2+12286.77+12295.1+4627.73+4619.25+4627.73+239134.33</f>
        <v>1120923.44</v>
      </c>
      <c r="K27" s="1090">
        <f t="shared" si="5"/>
        <v>1120923.44</v>
      </c>
      <c r="L27" s="1060"/>
      <c r="M27" s="1060"/>
      <c r="N27" s="1056"/>
      <c r="O27" s="1031"/>
    </row>
    <row r="28" spans="1:15" s="992" customFormat="1" ht="38.25">
      <c r="A28" s="1050" t="s">
        <v>250</v>
      </c>
      <c r="B28" s="1085" t="str">
        <f>B12</f>
        <v>ADMINISTRAÇÃO FINANCEIRA, PATRIMONIAL E CONTROLE INTERNO (GESTÃO FISCAL)</v>
      </c>
      <c r="C28" s="1051">
        <v>1112689</v>
      </c>
      <c r="D28" s="1051">
        <v>0</v>
      </c>
      <c r="E28" s="1052">
        <f t="shared" si="6"/>
        <v>1112689</v>
      </c>
      <c r="F28" s="1051">
        <v>1112689</v>
      </c>
      <c r="G28" s="1051">
        <v>0</v>
      </c>
      <c r="H28" s="1052">
        <f t="shared" si="7"/>
        <v>1112689</v>
      </c>
      <c r="I28" s="1089">
        <v>29277.17</v>
      </c>
      <c r="J28" s="1089"/>
      <c r="K28" s="1087">
        <f t="shared" si="5"/>
        <v>29277.17</v>
      </c>
      <c r="L28" s="1065"/>
      <c r="M28" s="1066"/>
      <c r="N28" s="1056"/>
      <c r="O28" s="1031"/>
    </row>
    <row r="29" spans="1:17" s="992" customFormat="1" ht="25.5">
      <c r="A29" s="1050" t="s">
        <v>251</v>
      </c>
      <c r="B29" s="1085" t="str">
        <f>B13</f>
        <v>GESTÃO DE RECUROS ESTRATÉGICOS/CORPORATIVOS</v>
      </c>
      <c r="C29" s="1051">
        <v>10043529</v>
      </c>
      <c r="D29" s="1051">
        <v>277777</v>
      </c>
      <c r="E29" s="1052">
        <f t="shared" si="6"/>
        <v>10321306</v>
      </c>
      <c r="F29" s="1051">
        <v>10043529</v>
      </c>
      <c r="G29" s="1051">
        <v>277777</v>
      </c>
      <c r="H29" s="1052">
        <f t="shared" si="7"/>
        <v>10321306</v>
      </c>
      <c r="I29" s="1089">
        <f>1281369.11+181645.87+177993.79+79778.79+23610.72+12990.09+14816.74+398873.93+263693.35+48120.4+157250.55+86088.36+53717.65+10379.3+15841.35</f>
        <v>2806169.9999999995</v>
      </c>
      <c r="J29" s="1089">
        <f>183884.6+7399.36+73971.91+861721.92+26275.75+7356.21</f>
        <v>1160609.75</v>
      </c>
      <c r="K29" s="1090">
        <f t="shared" si="5"/>
        <v>3966779.7499999995</v>
      </c>
      <c r="L29" s="1065"/>
      <c r="M29" s="1065"/>
      <c r="N29" s="1056"/>
      <c r="Q29" s="1031"/>
    </row>
    <row r="30" spans="1:14" s="1095" customFormat="1" ht="12.75">
      <c r="A30" s="1057">
        <v>3</v>
      </c>
      <c r="B30" s="1058" t="s">
        <v>625</v>
      </c>
      <c r="C30" s="1091">
        <v>712768</v>
      </c>
      <c r="D30" s="1092">
        <v>1187701</v>
      </c>
      <c r="E30" s="1054">
        <f t="shared" si="6"/>
        <v>1900469</v>
      </c>
      <c r="F30" s="1271">
        <v>712768</v>
      </c>
      <c r="G30" s="1272">
        <v>1187701</v>
      </c>
      <c r="H30" s="1054">
        <f t="shared" si="7"/>
        <v>1900469</v>
      </c>
      <c r="I30" s="1093"/>
      <c r="J30" s="1093"/>
      <c r="K30" s="1094">
        <f t="shared" si="5"/>
        <v>0</v>
      </c>
      <c r="L30" s="1065"/>
      <c r="M30" s="1065"/>
      <c r="N30" s="1056"/>
    </row>
    <row r="31" spans="1:17" s="992" customFormat="1" ht="12.75">
      <c r="A31" s="1548"/>
      <c r="B31" s="1068" t="s">
        <v>70</v>
      </c>
      <c r="C31" s="1052">
        <f aca="true" t="shared" si="8" ref="C31:H31">C22+C25+C30</f>
        <v>41000000</v>
      </c>
      <c r="D31" s="1052">
        <f t="shared" si="8"/>
        <v>9000000</v>
      </c>
      <c r="E31" s="1052">
        <f t="shared" si="8"/>
        <v>50000000</v>
      </c>
      <c r="F31" s="1052">
        <f t="shared" si="8"/>
        <v>41000000</v>
      </c>
      <c r="G31" s="1052">
        <f t="shared" si="8"/>
        <v>9000000</v>
      </c>
      <c r="H31" s="1096">
        <f t="shared" si="8"/>
        <v>50000000</v>
      </c>
      <c r="I31" s="1090">
        <f>I30+I25+I22</f>
        <v>2835447.1699999995</v>
      </c>
      <c r="J31" s="1090">
        <f>J30+J25+J22</f>
        <v>2281533.19</v>
      </c>
      <c r="K31" s="1090">
        <f>K30+K25+K22</f>
        <v>5116980.359999999</v>
      </c>
      <c r="L31" s="1097">
        <f>I31/F31</f>
        <v>0.06915724804878047</v>
      </c>
      <c r="M31" s="1069">
        <f>J31/G31</f>
        <v>0.25350368777777776</v>
      </c>
      <c r="N31" s="1056">
        <f>K31/H31</f>
        <v>0.10233960719999999</v>
      </c>
      <c r="Q31" s="1049"/>
    </row>
    <row r="32" spans="1:14" s="992" customFormat="1" ht="13.5" thickBot="1">
      <c r="A32" s="1549"/>
      <c r="B32" s="1070" t="s">
        <v>71</v>
      </c>
      <c r="C32" s="1071">
        <f>C31/E31</f>
        <v>0.82</v>
      </c>
      <c r="D32" s="1071">
        <f>D31/E31</f>
        <v>0.18</v>
      </c>
      <c r="E32" s="1071">
        <f>C32+D32</f>
        <v>1</v>
      </c>
      <c r="F32" s="1071">
        <f>F31/H31</f>
        <v>0.82</v>
      </c>
      <c r="G32" s="1071">
        <f>G31/H31</f>
        <v>0.18</v>
      </c>
      <c r="H32" s="1071">
        <f>F32+G32</f>
        <v>1</v>
      </c>
      <c r="I32" s="1098">
        <f>I31/K31</f>
        <v>0.5541250836460119</v>
      </c>
      <c r="J32" s="1098">
        <f>J31/K31</f>
        <v>0.4458749163539882</v>
      </c>
      <c r="K32" s="1098">
        <f>(I32+J32)</f>
        <v>1</v>
      </c>
      <c r="L32" s="1071"/>
      <c r="M32" s="1071"/>
      <c r="N32" s="1073"/>
    </row>
  </sheetData>
  <sheetProtection/>
  <mergeCells count="13">
    <mergeCell ref="A2:N2"/>
    <mergeCell ref="I4:K4"/>
    <mergeCell ref="L4:N4"/>
    <mergeCell ref="A4:A5"/>
    <mergeCell ref="A15:A16"/>
    <mergeCell ref="A20:A21"/>
    <mergeCell ref="A31:A32"/>
    <mergeCell ref="C4:E4"/>
    <mergeCell ref="C20:E20"/>
    <mergeCell ref="F20:H20"/>
    <mergeCell ref="I20:K20"/>
    <mergeCell ref="L20:N20"/>
    <mergeCell ref="F4:H4"/>
  </mergeCells>
  <printOptions horizontalCentered="1" verticalCentered="1"/>
  <pageMargins left="0.1968503937007874" right="0.3937007874015748" top="0.984251968503937" bottom="0.984251968503937" header="0.5118110236220472" footer="0.5118110236220472"/>
  <pageSetup horizontalDpi="300" verticalDpi="300" orientation="landscape" paperSize="9" scale="65" r:id="rId4"/>
  <drawing r:id="rId3"/>
  <legacyDrawing r:id="rId2"/>
</worksheet>
</file>

<file path=xl/worksheets/sheet13.xml><?xml version="1.0" encoding="utf-8"?>
<worksheet xmlns="http://schemas.openxmlformats.org/spreadsheetml/2006/main" xmlns:r="http://schemas.openxmlformats.org/officeDocument/2006/relationships">
  <dimension ref="A1:BX25"/>
  <sheetViews>
    <sheetView showGridLines="0" zoomScale="77" zoomScaleNormal="77" zoomScalePageLayoutView="0" workbookViewId="0" topLeftCell="A4">
      <selection activeCell="K22" sqref="K22"/>
    </sheetView>
  </sheetViews>
  <sheetFormatPr defaultColWidth="9.140625" defaultRowHeight="12.75"/>
  <cols>
    <col min="1" max="1" width="8.421875" style="19" customWidth="1"/>
    <col min="2" max="9" width="16.140625" style="19" customWidth="1"/>
    <col min="10" max="16384" width="9.140625" style="19" customWidth="1"/>
  </cols>
  <sheetData>
    <row r="1" spans="1:76" s="49" customFormat="1" ht="36" customHeight="1" thickBot="1">
      <c r="A1" s="109"/>
      <c r="B1" s="110"/>
      <c r="C1" s="110"/>
      <c r="D1" s="110"/>
      <c r="E1" s="111"/>
      <c r="F1" s="110"/>
      <c r="G1" s="110"/>
      <c r="H1" s="110"/>
      <c r="I1" s="113"/>
      <c r="J1" s="44"/>
      <c r="K1" s="44"/>
      <c r="L1" s="44"/>
      <c r="M1" s="44"/>
      <c r="N1" s="45"/>
      <c r="O1" s="47"/>
      <c r="P1" s="47"/>
      <c r="Q1" s="44"/>
      <c r="R1" s="44"/>
      <c r="S1" s="44"/>
      <c r="T1" s="45"/>
      <c r="U1" s="45"/>
      <c r="V1" s="46"/>
      <c r="W1" s="47"/>
      <c r="X1" s="47"/>
      <c r="Y1" s="47"/>
      <c r="Z1" s="44"/>
      <c r="AA1" s="44"/>
      <c r="AB1" s="44"/>
      <c r="AC1" s="44"/>
      <c r="AD1" s="44"/>
      <c r="AE1" s="44"/>
      <c r="AF1" s="44"/>
      <c r="AG1" s="45"/>
      <c r="AH1" s="45"/>
      <c r="AI1" s="46"/>
      <c r="AJ1" s="47"/>
      <c r="AK1" s="47"/>
      <c r="AL1" s="47"/>
      <c r="AM1" s="44"/>
      <c r="AN1" s="44"/>
      <c r="AO1" s="44"/>
      <c r="AP1" s="44"/>
      <c r="AQ1" s="44"/>
      <c r="AR1" s="44"/>
      <c r="AS1" s="44"/>
      <c r="AT1" s="45"/>
      <c r="AU1" s="45"/>
      <c r="AV1" s="46"/>
      <c r="AW1" s="47"/>
      <c r="AX1" s="47"/>
      <c r="AY1" s="47"/>
      <c r="AZ1" s="44"/>
      <c r="BA1" s="44"/>
      <c r="BB1" s="44"/>
      <c r="BC1" s="44"/>
      <c r="BD1" s="44"/>
      <c r="BE1" s="44"/>
      <c r="BF1" s="44"/>
      <c r="BG1" s="48"/>
      <c r="BH1" s="48"/>
      <c r="BI1" s="48"/>
      <c r="BJ1" s="48"/>
      <c r="BK1" s="48"/>
      <c r="BL1" s="48"/>
      <c r="BM1" s="48"/>
      <c r="BN1" s="48"/>
      <c r="BO1" s="48"/>
      <c r="BP1" s="48"/>
      <c r="BQ1" s="48"/>
      <c r="BR1" s="48"/>
      <c r="BS1" s="48"/>
      <c r="BT1" s="48"/>
      <c r="BU1" s="48"/>
      <c r="BV1" s="48"/>
      <c r="BW1" s="48"/>
      <c r="BX1" s="48"/>
    </row>
    <row r="2" spans="1:9" s="9" customFormat="1" ht="16.5" thickBot="1">
      <c r="A2" s="1557" t="s">
        <v>212</v>
      </c>
      <c r="B2" s="1461"/>
      <c r="C2" s="1461"/>
      <c r="D2" s="1461"/>
      <c r="E2" s="1461"/>
      <c r="F2" s="1461"/>
      <c r="G2" s="1461"/>
      <c r="H2" s="1461"/>
      <c r="I2" s="1462"/>
    </row>
    <row r="3" spans="1:14" ht="15">
      <c r="A3" s="163"/>
      <c r="B3" s="164"/>
      <c r="C3" s="164"/>
      <c r="D3" s="164"/>
      <c r="E3" s="164"/>
      <c r="F3" s="164"/>
      <c r="G3" s="164"/>
      <c r="H3" s="164"/>
      <c r="I3" s="166">
        <v>1</v>
      </c>
      <c r="J3" s="167"/>
      <c r="K3" s="64"/>
      <c r="L3" s="167"/>
      <c r="M3" s="167"/>
      <c r="N3" s="167"/>
    </row>
    <row r="4" spans="1:14" ht="15">
      <c r="A4" s="1560" t="s">
        <v>210</v>
      </c>
      <c r="B4" s="1558" t="s">
        <v>209</v>
      </c>
      <c r="C4" s="1562"/>
      <c r="D4" s="1563"/>
      <c r="E4" s="1558" t="s">
        <v>86</v>
      </c>
      <c r="F4" s="1562"/>
      <c r="G4" s="1563"/>
      <c r="H4" s="1558" t="s">
        <v>83</v>
      </c>
      <c r="I4" s="1559"/>
      <c r="J4" s="64"/>
      <c r="K4" s="64"/>
      <c r="L4" s="64"/>
      <c r="M4" s="64"/>
      <c r="N4" s="64"/>
    </row>
    <row r="5" spans="1:9" ht="15">
      <c r="A5" s="1561"/>
      <c r="B5" s="150" t="s">
        <v>55</v>
      </c>
      <c r="C5" s="150" t="s">
        <v>56</v>
      </c>
      <c r="D5" s="150" t="s">
        <v>72</v>
      </c>
      <c r="E5" s="150" t="s">
        <v>55</v>
      </c>
      <c r="F5" s="150" t="s">
        <v>56</v>
      </c>
      <c r="G5" s="150" t="s">
        <v>72</v>
      </c>
      <c r="H5" s="168" t="s">
        <v>583</v>
      </c>
      <c r="I5" s="151" t="s">
        <v>595</v>
      </c>
    </row>
    <row r="6" spans="1:9" ht="15">
      <c r="A6" s="169" t="s">
        <v>554</v>
      </c>
      <c r="B6" s="496">
        <v>16210459</v>
      </c>
      <c r="C6" s="496">
        <v>1415739</v>
      </c>
      <c r="D6" s="497">
        <f>B6+C6</f>
        <v>17626198</v>
      </c>
      <c r="E6" s="499">
        <f>2940481.782528</f>
        <v>2940481.782528</v>
      </c>
      <c r="F6" s="498">
        <f>2595430.736256</f>
        <v>2595430.736256</v>
      </c>
      <c r="G6" s="489">
        <f>E6+F6</f>
        <v>5535912.518784</v>
      </c>
      <c r="H6" s="490">
        <f>D6-G6</f>
        <v>12090285.481216</v>
      </c>
      <c r="I6" s="491">
        <f>H6/D6</f>
        <v>0.6859270207458239</v>
      </c>
    </row>
    <row r="7" spans="1:9" ht="15">
      <c r="A7" s="169" t="s">
        <v>228</v>
      </c>
      <c r="B7" s="496">
        <v>30356482</v>
      </c>
      <c r="C7" s="496">
        <v>2035671</v>
      </c>
      <c r="D7" s="497">
        <f>B7+C7</f>
        <v>32392153</v>
      </c>
      <c r="E7" s="488">
        <v>1909740.31</v>
      </c>
      <c r="F7" s="488">
        <v>1324304.98</v>
      </c>
      <c r="G7" s="489">
        <f>E7+F7</f>
        <v>3234045.29</v>
      </c>
      <c r="H7" s="490">
        <f>D7-G7</f>
        <v>29158107.71</v>
      </c>
      <c r="I7" s="491">
        <f>H7/D7</f>
        <v>0.9001596068652801</v>
      </c>
    </row>
    <row r="8" spans="1:9" ht="15">
      <c r="A8" s="169" t="s">
        <v>229</v>
      </c>
      <c r="B8" s="496">
        <v>15161174</v>
      </c>
      <c r="C8" s="496">
        <v>5619093</v>
      </c>
      <c r="D8" s="497">
        <f>B8+C8</f>
        <v>20780267</v>
      </c>
      <c r="E8" s="488"/>
      <c r="F8" s="173"/>
      <c r="G8" s="174">
        <f>E8+F8</f>
        <v>0</v>
      </c>
      <c r="H8" s="490">
        <f>D8-G8</f>
        <v>20780267</v>
      </c>
      <c r="I8" s="491">
        <f>H8/D8</f>
        <v>1</v>
      </c>
    </row>
    <row r="9" spans="1:9" ht="15">
      <c r="A9" s="169" t="s">
        <v>230</v>
      </c>
      <c r="B9" s="496">
        <v>6590523</v>
      </c>
      <c r="C9" s="496">
        <v>1025000</v>
      </c>
      <c r="D9" s="497">
        <f>B9+C9</f>
        <v>7615523</v>
      </c>
      <c r="E9" s="488"/>
      <c r="F9" s="173"/>
      <c r="G9" s="174">
        <f>E9+F9</f>
        <v>0</v>
      </c>
      <c r="H9" s="490">
        <f>D9-G9</f>
        <v>7615523</v>
      </c>
      <c r="I9" s="491">
        <f>H9/D9</f>
        <v>1</v>
      </c>
    </row>
    <row r="10" spans="1:9" ht="15">
      <c r="A10" s="169" t="s">
        <v>555</v>
      </c>
      <c r="B10" s="496">
        <v>800646</v>
      </c>
      <c r="C10" s="488"/>
      <c r="D10" s="497">
        <f>B10+C10</f>
        <v>800646</v>
      </c>
      <c r="E10" s="488"/>
      <c r="F10" s="173"/>
      <c r="G10" s="174">
        <f>E10+F10</f>
        <v>0</v>
      </c>
      <c r="H10" s="490">
        <f>D10-G10</f>
        <v>800646</v>
      </c>
      <c r="I10" s="491">
        <f>H10/D10</f>
        <v>1</v>
      </c>
    </row>
    <row r="11" spans="1:9" ht="15">
      <c r="A11" s="169"/>
      <c r="B11" s="496"/>
      <c r="C11" s="488"/>
      <c r="D11" s="497"/>
      <c r="E11" s="488"/>
      <c r="F11" s="173"/>
      <c r="G11" s="174"/>
      <c r="H11" s="490"/>
      <c r="I11" s="491"/>
    </row>
    <row r="12" spans="1:9" ht="15">
      <c r="A12" s="169"/>
      <c r="B12" s="173"/>
      <c r="C12" s="173"/>
      <c r="D12" s="174"/>
      <c r="E12" s="173"/>
      <c r="F12" s="173"/>
      <c r="G12" s="174"/>
      <c r="H12" s="492"/>
      <c r="I12" s="491"/>
    </row>
    <row r="13" spans="1:9" ht="15.75" thickBot="1">
      <c r="A13" s="170" t="s">
        <v>57</v>
      </c>
      <c r="B13" s="493">
        <f aca="true" t="shared" si="0" ref="B13:G13">SUM(B6:B12)</f>
        <v>69119284</v>
      </c>
      <c r="C13" s="493">
        <f t="shared" si="0"/>
        <v>10095503</v>
      </c>
      <c r="D13" s="493">
        <f t="shared" si="0"/>
        <v>79214787</v>
      </c>
      <c r="E13" s="493">
        <f t="shared" si="0"/>
        <v>4850222.0925280005</v>
      </c>
      <c r="F13" s="493">
        <f t="shared" si="0"/>
        <v>3919735.716256</v>
      </c>
      <c r="G13" s="493">
        <f t="shared" si="0"/>
        <v>8769957.808784</v>
      </c>
      <c r="H13" s="175"/>
      <c r="I13" s="171"/>
    </row>
    <row r="14" spans="1:9" ht="15.75" thickBot="1">
      <c r="A14" s="162"/>
      <c r="B14" s="64"/>
      <c r="C14" s="64"/>
      <c r="D14" s="64"/>
      <c r="E14" s="64"/>
      <c r="F14" s="64"/>
      <c r="G14" s="64"/>
      <c r="H14" s="64"/>
      <c r="I14" s="156"/>
    </row>
    <row r="15" spans="1:9" ht="15">
      <c r="A15" s="158"/>
      <c r="B15" s="159"/>
      <c r="C15" s="159"/>
      <c r="D15" s="159"/>
      <c r="E15" s="159"/>
      <c r="F15" s="159"/>
      <c r="G15" s="159"/>
      <c r="H15" s="159"/>
      <c r="I15" s="172" t="s">
        <v>78</v>
      </c>
    </row>
    <row r="16" spans="1:9" ht="15">
      <c r="A16" s="1560" t="s">
        <v>210</v>
      </c>
      <c r="B16" s="1558" t="s">
        <v>209</v>
      </c>
      <c r="C16" s="1562"/>
      <c r="D16" s="1563"/>
      <c r="E16" s="1558" t="s">
        <v>86</v>
      </c>
      <c r="F16" s="1562"/>
      <c r="G16" s="1563"/>
      <c r="H16" s="1558" t="s">
        <v>83</v>
      </c>
      <c r="I16" s="1559"/>
    </row>
    <row r="17" spans="1:9" ht="15">
      <c r="A17" s="1561"/>
      <c r="B17" s="150" t="s">
        <v>55</v>
      </c>
      <c r="C17" s="150" t="s">
        <v>56</v>
      </c>
      <c r="D17" s="150" t="s">
        <v>72</v>
      </c>
      <c r="E17" s="150" t="s">
        <v>55</v>
      </c>
      <c r="F17" s="150" t="s">
        <v>56</v>
      </c>
      <c r="G17" s="150" t="s">
        <v>72</v>
      </c>
      <c r="H17" s="168" t="s">
        <v>583</v>
      </c>
      <c r="I17" s="151" t="s">
        <v>595</v>
      </c>
    </row>
    <row r="18" spans="1:9" ht="15">
      <c r="A18" s="169" t="s">
        <v>554</v>
      </c>
      <c r="B18" s="496">
        <v>9005810.55</v>
      </c>
      <c r="C18" s="496">
        <v>786521.67</v>
      </c>
      <c r="D18" s="497">
        <f>B18+C18</f>
        <v>9792332.22</v>
      </c>
      <c r="E18" s="488">
        <v>1720787.56</v>
      </c>
      <c r="F18" s="488">
        <v>1518861.62</v>
      </c>
      <c r="G18" s="489">
        <f>E18+F18</f>
        <v>3239649.18</v>
      </c>
      <c r="H18" s="490">
        <f>D18-G18</f>
        <v>6552683.040000001</v>
      </c>
      <c r="I18" s="491">
        <f>H18/D18</f>
        <v>0.669164698744259</v>
      </c>
    </row>
    <row r="19" spans="1:9" ht="15">
      <c r="A19" s="169" t="s">
        <v>228</v>
      </c>
      <c r="B19" s="496">
        <v>16864712.22</v>
      </c>
      <c r="C19" s="496">
        <v>1130928.33</v>
      </c>
      <c r="D19" s="497">
        <f>B19+C19</f>
        <v>17995640.549999997</v>
      </c>
      <c r="E19" s="488">
        <v>1114659.61</v>
      </c>
      <c r="F19" s="488">
        <v>762671.56</v>
      </c>
      <c r="G19" s="489">
        <f>E19+F19</f>
        <v>1877331.1700000002</v>
      </c>
      <c r="H19" s="490">
        <f>D19-G19</f>
        <v>16118309.379999997</v>
      </c>
      <c r="I19" s="491">
        <f>H19/D19</f>
        <v>0.8956785581050073</v>
      </c>
    </row>
    <row r="20" spans="1:9" ht="15">
      <c r="A20" s="169" t="s">
        <v>229</v>
      </c>
      <c r="B20" s="496">
        <v>8422874.45</v>
      </c>
      <c r="C20" s="496">
        <v>3121718.33</v>
      </c>
      <c r="D20" s="497">
        <f>B20+C20</f>
        <v>11544592.78</v>
      </c>
      <c r="E20" s="488"/>
      <c r="F20" s="488"/>
      <c r="G20" s="489">
        <f>E20+F20</f>
        <v>0</v>
      </c>
      <c r="H20" s="490">
        <f>D20-G20</f>
        <v>11544592.78</v>
      </c>
      <c r="I20" s="491">
        <f>H20/D20</f>
        <v>1</v>
      </c>
    </row>
    <row r="21" spans="1:9" ht="15">
      <c r="A21" s="169" t="s">
        <v>230</v>
      </c>
      <c r="B21" s="496">
        <v>3661401.67</v>
      </c>
      <c r="C21" s="496">
        <v>569444.45</v>
      </c>
      <c r="D21" s="497">
        <f>B21+C21</f>
        <v>4230846.12</v>
      </c>
      <c r="E21" s="488"/>
      <c r="F21" s="488"/>
      <c r="G21" s="489">
        <f>E21+F21</f>
        <v>0</v>
      </c>
      <c r="H21" s="490">
        <f>D21-G21</f>
        <v>4230846.12</v>
      </c>
      <c r="I21" s="491">
        <f>H21/D21</f>
        <v>1</v>
      </c>
    </row>
    <row r="22" spans="1:9" ht="15">
      <c r="A22" s="169" t="s">
        <v>555</v>
      </c>
      <c r="B22" s="496">
        <v>444803.33</v>
      </c>
      <c r="C22" s="488"/>
      <c r="D22" s="497">
        <f>B22+C22</f>
        <v>444803.33</v>
      </c>
      <c r="E22" s="488"/>
      <c r="F22" s="488"/>
      <c r="G22" s="489">
        <f>E22+F22</f>
        <v>0</v>
      </c>
      <c r="H22" s="490">
        <f>D22-G22</f>
        <v>444803.33</v>
      </c>
      <c r="I22" s="491">
        <f>H22/D22</f>
        <v>1</v>
      </c>
    </row>
    <row r="23" spans="1:9" ht="15">
      <c r="A23" s="169"/>
      <c r="B23" s="488"/>
      <c r="C23" s="488"/>
      <c r="D23" s="489"/>
      <c r="E23" s="488"/>
      <c r="F23" s="488"/>
      <c r="G23" s="489"/>
      <c r="H23" s="492"/>
      <c r="I23" s="491"/>
    </row>
    <row r="24" spans="1:9" ht="15">
      <c r="A24" s="169"/>
      <c r="B24" s="488"/>
      <c r="C24" s="488"/>
      <c r="D24" s="489"/>
      <c r="E24" s="488"/>
      <c r="F24" s="488"/>
      <c r="G24" s="489"/>
      <c r="H24" s="492"/>
      <c r="I24" s="491"/>
    </row>
    <row r="25" spans="1:9" ht="15.75" thickBot="1">
      <c r="A25" s="170" t="s">
        <v>57</v>
      </c>
      <c r="B25" s="493">
        <f aca="true" t="shared" si="1" ref="B25:G25">SUM(B18:B24)</f>
        <v>38399602.22</v>
      </c>
      <c r="C25" s="493">
        <f t="shared" si="1"/>
        <v>5608612.78</v>
      </c>
      <c r="D25" s="493">
        <f t="shared" si="1"/>
        <v>44008214.99999999</v>
      </c>
      <c r="E25" s="493">
        <f t="shared" si="1"/>
        <v>2835447.17</v>
      </c>
      <c r="F25" s="493">
        <f t="shared" si="1"/>
        <v>2281533.18</v>
      </c>
      <c r="G25" s="493">
        <f t="shared" si="1"/>
        <v>5116980.350000001</v>
      </c>
      <c r="H25" s="494"/>
      <c r="I25" s="495"/>
    </row>
  </sheetData>
  <sheetProtection/>
  <mergeCells count="9">
    <mergeCell ref="A2:I2"/>
    <mergeCell ref="H16:I16"/>
    <mergeCell ref="A16:A17"/>
    <mergeCell ref="B16:D16"/>
    <mergeCell ref="E16:G16"/>
    <mergeCell ref="H4:I4"/>
    <mergeCell ref="B4:D4"/>
    <mergeCell ref="E4:G4"/>
    <mergeCell ref="A4:A5"/>
  </mergeCells>
  <printOptions horizontalCentered="1" verticalCentered="1"/>
  <pageMargins left="0.2362204724409449" right="0.2755905511811024" top="0.984251968503937" bottom="0.984251968503937" header="0.5118110236220472" footer="0.5118110236220472"/>
  <pageSetup horizontalDpi="300" verticalDpi="300" orientation="landscape" scale="89" r:id="rId4"/>
  <drawing r:id="rId3"/>
  <legacyDrawing r:id="rId2"/>
</worksheet>
</file>

<file path=xl/worksheets/sheet14.xml><?xml version="1.0" encoding="utf-8"?>
<worksheet xmlns="http://schemas.openxmlformats.org/spreadsheetml/2006/main" xmlns:r="http://schemas.openxmlformats.org/officeDocument/2006/relationships">
  <dimension ref="A1:BY37"/>
  <sheetViews>
    <sheetView showGridLines="0" zoomScale="74" zoomScaleNormal="74"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H19" sqref="H19"/>
    </sheetView>
  </sheetViews>
  <sheetFormatPr defaultColWidth="9.140625" defaultRowHeight="12.75"/>
  <cols>
    <col min="1" max="1" width="5.421875" style="19" customWidth="1"/>
    <col min="2" max="2" width="38.421875" style="19" customWidth="1"/>
    <col min="3" max="3" width="16.421875" style="19" bestFit="1" customWidth="1"/>
    <col min="4" max="4" width="16.28125" style="19" customWidth="1"/>
    <col min="5" max="5" width="17.00390625" style="19" customWidth="1"/>
    <col min="6" max="6" width="16.421875" style="19" customWidth="1"/>
    <col min="7" max="7" width="14.8515625" style="19" customWidth="1"/>
    <col min="8" max="8" width="15.57421875" style="19" customWidth="1"/>
    <col min="9" max="9" width="17.421875" style="19" customWidth="1"/>
    <col min="10" max="10" width="11.421875" style="19" customWidth="1"/>
    <col min="11" max="11" width="9.140625" style="19" customWidth="1"/>
    <col min="12" max="12" width="15.140625" style="19" bestFit="1" customWidth="1"/>
    <col min="13" max="16384" width="9.140625" style="19" customWidth="1"/>
  </cols>
  <sheetData>
    <row r="1" spans="1:77" s="49" customFormat="1" ht="36" customHeight="1">
      <c r="A1" s="1564"/>
      <c r="B1" s="1565"/>
      <c r="C1" s="135"/>
      <c r="D1" s="135"/>
      <c r="E1" s="135"/>
      <c r="F1" s="136"/>
      <c r="G1" s="135"/>
      <c r="H1" s="135"/>
      <c r="I1" s="135"/>
      <c r="J1" s="137"/>
      <c r="K1" s="44"/>
      <c r="L1" s="44"/>
      <c r="M1" s="44"/>
      <c r="N1" s="44"/>
      <c r="O1" s="45"/>
      <c r="P1" s="47"/>
      <c r="Q1" s="47"/>
      <c r="R1" s="44"/>
      <c r="S1" s="44"/>
      <c r="T1" s="44"/>
      <c r="U1" s="45"/>
      <c r="V1" s="45"/>
      <c r="W1" s="46"/>
      <c r="X1" s="47"/>
      <c r="Y1" s="47"/>
      <c r="Z1" s="47"/>
      <c r="AA1" s="44"/>
      <c r="AB1" s="44"/>
      <c r="AC1" s="44"/>
      <c r="AD1" s="44"/>
      <c r="AE1" s="44"/>
      <c r="AF1" s="44"/>
      <c r="AG1" s="44"/>
      <c r="AH1" s="45"/>
      <c r="AI1" s="45"/>
      <c r="AJ1" s="46"/>
      <c r="AK1" s="47"/>
      <c r="AL1" s="47"/>
      <c r="AM1" s="47"/>
      <c r="AN1" s="44"/>
      <c r="AO1" s="44"/>
      <c r="AP1" s="44"/>
      <c r="AQ1" s="44"/>
      <c r="AR1" s="44"/>
      <c r="AS1" s="44"/>
      <c r="AT1" s="44"/>
      <c r="AU1" s="45"/>
      <c r="AV1" s="45"/>
      <c r="AW1" s="46"/>
      <c r="AX1" s="47"/>
      <c r="AY1" s="47"/>
      <c r="AZ1" s="47"/>
      <c r="BA1" s="44"/>
      <c r="BB1" s="44"/>
      <c r="BC1" s="44"/>
      <c r="BD1" s="44"/>
      <c r="BE1" s="44"/>
      <c r="BF1" s="44"/>
      <c r="BG1" s="44"/>
      <c r="BH1" s="48"/>
      <c r="BI1" s="48"/>
      <c r="BJ1" s="48"/>
      <c r="BK1" s="48"/>
      <c r="BL1" s="48"/>
      <c r="BM1" s="48"/>
      <c r="BN1" s="48"/>
      <c r="BO1" s="48"/>
      <c r="BP1" s="48"/>
      <c r="BQ1" s="48"/>
      <c r="BR1" s="48"/>
      <c r="BS1" s="48"/>
      <c r="BT1" s="48"/>
      <c r="BU1" s="48"/>
      <c r="BV1" s="48"/>
      <c r="BW1" s="48"/>
      <c r="BX1" s="48"/>
      <c r="BY1" s="48"/>
    </row>
    <row r="2" spans="1:10" s="9" customFormat="1" ht="16.5" thickBot="1">
      <c r="A2" s="211" t="s">
        <v>87</v>
      </c>
      <c r="B2" s="211"/>
      <c r="C2" s="211"/>
      <c r="D2" s="211"/>
      <c r="E2" s="211"/>
      <c r="F2" s="211"/>
      <c r="G2" s="211"/>
      <c r="H2" s="211"/>
      <c r="I2" s="211"/>
      <c r="J2" s="212"/>
    </row>
    <row r="3" spans="1:10" ht="15">
      <c r="A3" s="180"/>
      <c r="B3" s="180"/>
      <c r="C3" s="181"/>
      <c r="D3" s="181"/>
      <c r="E3" s="182"/>
      <c r="F3" s="182"/>
      <c r="G3" s="182"/>
      <c r="H3" s="182"/>
      <c r="I3" s="182"/>
      <c r="J3" s="461">
        <v>1</v>
      </c>
    </row>
    <row r="4" spans="1:10" ht="15">
      <c r="A4" s="1575" t="s">
        <v>589</v>
      </c>
      <c r="B4" s="1575" t="s">
        <v>224</v>
      </c>
      <c r="C4" s="1576" t="s">
        <v>1493</v>
      </c>
      <c r="D4" s="1576"/>
      <c r="E4" s="1576"/>
      <c r="F4" s="1576" t="s">
        <v>1492</v>
      </c>
      <c r="G4" s="1576"/>
      <c r="H4" s="1576"/>
      <c r="I4" s="1577" t="s">
        <v>83</v>
      </c>
      <c r="J4" s="1578"/>
    </row>
    <row r="5" spans="1:10" ht="15">
      <c r="A5" s="1575"/>
      <c r="B5" s="1575"/>
      <c r="C5" s="134" t="s">
        <v>55</v>
      </c>
      <c r="D5" s="177" t="s">
        <v>69</v>
      </c>
      <c r="E5" s="177" t="s">
        <v>57</v>
      </c>
      <c r="F5" s="134" t="s">
        <v>55</v>
      </c>
      <c r="G5" s="177" t="s">
        <v>69</v>
      </c>
      <c r="H5" s="177" t="s">
        <v>57</v>
      </c>
      <c r="I5" s="177" t="s">
        <v>81</v>
      </c>
      <c r="J5" s="201" t="s">
        <v>595</v>
      </c>
    </row>
    <row r="6" spans="1:10" ht="15">
      <c r="A6" s="436">
        <v>1</v>
      </c>
      <c r="B6" s="437" t="str">
        <f>'9. Dem Exec Orçamentária'!B22</f>
        <v>ADMINISTRAÇÃO</v>
      </c>
      <c r="C6" s="185">
        <f>50385/2</f>
        <v>25192.5</v>
      </c>
      <c r="D6" s="185">
        <f>25000/2</f>
        <v>12500</v>
      </c>
      <c r="E6" s="185">
        <f>SUM(C6:D6)</f>
        <v>37692.5</v>
      </c>
      <c r="F6" s="185"/>
      <c r="G6" s="185"/>
      <c r="H6" s="185">
        <f>SUM(F6:G6)</f>
        <v>0</v>
      </c>
      <c r="I6" s="186">
        <f aca="true" t="shared" si="0" ref="I6:I12">E6-H6</f>
        <v>37692.5</v>
      </c>
      <c r="J6" s="502">
        <f aca="true" t="shared" si="1" ref="J6:J12">I6/E6</f>
        <v>1</v>
      </c>
    </row>
    <row r="7" spans="1:10" ht="15">
      <c r="A7" s="436">
        <v>2</v>
      </c>
      <c r="B7" s="437" t="s">
        <v>225</v>
      </c>
      <c r="C7" s="185">
        <f aca="true" t="shared" si="2" ref="C7:H7">SUM(C8:C11)</f>
        <v>15153048.5</v>
      </c>
      <c r="D7" s="185">
        <f t="shared" si="2"/>
        <v>1005335.5</v>
      </c>
      <c r="E7" s="185">
        <f t="shared" si="2"/>
        <v>16158384</v>
      </c>
      <c r="F7" s="185">
        <f t="shared" si="2"/>
        <v>1114750.7</v>
      </c>
      <c r="G7" s="185">
        <f t="shared" si="2"/>
        <v>400000</v>
      </c>
      <c r="H7" s="185">
        <f t="shared" si="2"/>
        <v>1514750.7</v>
      </c>
      <c r="I7" s="186">
        <f t="shared" si="0"/>
        <v>14643633.3</v>
      </c>
      <c r="J7" s="502">
        <f t="shared" si="1"/>
        <v>0.9062560525854566</v>
      </c>
    </row>
    <row r="8" spans="1:10" ht="42.75" customHeight="1">
      <c r="A8" s="438" t="s">
        <v>248</v>
      </c>
      <c r="B8" s="439" t="str">
        <f>'9. Dem Exec Orçamentária'!B26</f>
        <v>GESTÃO ESTRATÉGICA INTEGRADA/INTEGRAÇÃO DA GESTÃO FAZENDÁRIA</v>
      </c>
      <c r="C8" s="185">
        <f>62000/2</f>
        <v>31000</v>
      </c>
      <c r="D8" s="185"/>
      <c r="E8" s="185">
        <f>SUM(C8:D8)</f>
        <v>31000</v>
      </c>
      <c r="F8" s="185"/>
      <c r="G8" s="185"/>
      <c r="H8" s="185">
        <f>SUM(F8:G8)</f>
        <v>0</v>
      </c>
      <c r="I8" s="186">
        <f t="shared" si="0"/>
        <v>31000</v>
      </c>
      <c r="J8" s="502">
        <f t="shared" si="1"/>
        <v>1</v>
      </c>
    </row>
    <row r="9" spans="1:10" ht="31.5" customHeight="1">
      <c r="A9" s="438" t="s">
        <v>249</v>
      </c>
      <c r="B9" s="439" t="str">
        <f>'9. Dem Exec Orçamentária'!B27</f>
        <v>ADMINISTRAÇÃO TRIBUTÁRIA E CONTENCIOSO FISCAL</v>
      </c>
      <c r="C9" s="185">
        <f>26149449/2</f>
        <v>13074724.5</v>
      </c>
      <c r="D9" s="185">
        <f>1555571/2</f>
        <v>777785.5</v>
      </c>
      <c r="E9" s="185">
        <f>SUM(C9:D9)</f>
        <v>13852510</v>
      </c>
      <c r="F9" s="185"/>
      <c r="G9" s="185">
        <v>400000</v>
      </c>
      <c r="H9" s="185">
        <f>SUM(F9:G9)</f>
        <v>400000</v>
      </c>
      <c r="I9" s="186">
        <f t="shared" si="0"/>
        <v>13452510</v>
      </c>
      <c r="J9" s="502">
        <f t="shared" si="1"/>
        <v>0.9711243666310293</v>
      </c>
    </row>
    <row r="10" spans="1:10" ht="29.25" customHeight="1">
      <c r="A10" s="438" t="s">
        <v>252</v>
      </c>
      <c r="B10" s="439" t="str">
        <f>'9. Dem Exec Orçamentária'!B28</f>
        <v>ADMINISTRAÇÃO FINANCEIRA, PATRIMONIAL E CONTROLE INTERNO (GESTÃO FISCAL)</v>
      </c>
      <c r="C10" s="185">
        <f>561680/2</f>
        <v>280840</v>
      </c>
      <c r="D10" s="185"/>
      <c r="E10" s="185">
        <f>SUM(C10:D10)</f>
        <v>280840</v>
      </c>
      <c r="F10" s="185">
        <v>49900</v>
      </c>
      <c r="G10" s="185"/>
      <c r="H10" s="185">
        <f>SUM(F10:G10)</f>
        <v>49900</v>
      </c>
      <c r="I10" s="186">
        <f t="shared" si="0"/>
        <v>230940</v>
      </c>
      <c r="J10" s="502">
        <f t="shared" si="1"/>
        <v>0.8223187580116792</v>
      </c>
    </row>
    <row r="11" spans="1:10" ht="30">
      <c r="A11" s="438" t="s">
        <v>251</v>
      </c>
      <c r="B11" s="439" t="str">
        <f>'9. Dem Exec Orçamentária'!B29</f>
        <v>GESTÃO DE RECUROS ESTRATÉGICOS/CORPORATIVOS</v>
      </c>
      <c r="C11" s="185">
        <f>3532968/2</f>
        <v>1766484</v>
      </c>
      <c r="D11" s="185">
        <f>455100/2</f>
        <v>227550</v>
      </c>
      <c r="E11" s="185">
        <f>SUM(C11:D11)</f>
        <v>1994034</v>
      </c>
      <c r="F11" s="185">
        <f>928603.86+91556.36+17690.48+27000</f>
        <v>1064850.7</v>
      </c>
      <c r="G11" s="185"/>
      <c r="H11" s="185">
        <f>SUM(F11:G11)</f>
        <v>1064850.7</v>
      </c>
      <c r="I11" s="186">
        <f t="shared" si="0"/>
        <v>929183.3</v>
      </c>
      <c r="J11" s="502">
        <f t="shared" si="1"/>
        <v>0.46598167333154805</v>
      </c>
    </row>
    <row r="12" spans="1:10" ht="15">
      <c r="A12" s="436">
        <v>3</v>
      </c>
      <c r="B12" s="437" t="str">
        <f>'9. Dem Exec Orçamentária'!B30</f>
        <v>IMPREVISTOS</v>
      </c>
      <c r="C12" s="185"/>
      <c r="D12" s="185"/>
      <c r="E12" s="185">
        <f>SUM(C12:D12)</f>
        <v>0</v>
      </c>
      <c r="F12" s="185"/>
      <c r="G12" s="185"/>
      <c r="H12" s="185">
        <f>SUM(F12:G12)</f>
        <v>0</v>
      </c>
      <c r="I12" s="186">
        <f t="shared" si="0"/>
        <v>0</v>
      </c>
      <c r="J12" s="178" t="e">
        <f t="shared" si="1"/>
        <v>#DIV/0!</v>
      </c>
    </row>
    <row r="13" spans="1:10" ht="15.75" thickBot="1">
      <c r="A13" s="213"/>
      <c r="B13" s="183" t="s">
        <v>80</v>
      </c>
      <c r="C13" s="187">
        <f>C6+C7+C12</f>
        <v>15178241</v>
      </c>
      <c r="D13" s="187">
        <f>D6+D7+D12</f>
        <v>1017835.5</v>
      </c>
      <c r="E13" s="187">
        <f>C13+D13</f>
        <v>16196076.5</v>
      </c>
      <c r="F13" s="187">
        <f>F6+F7+F12</f>
        <v>1114750.7</v>
      </c>
      <c r="G13" s="187">
        <f>G6+G7+G12</f>
        <v>400000</v>
      </c>
      <c r="H13" s="187">
        <f>H6+H7+H12</f>
        <v>1514750.7</v>
      </c>
      <c r="I13" s="187"/>
      <c r="J13" s="190"/>
    </row>
    <row r="14" spans="1:10" ht="15">
      <c r="A14" s="180"/>
      <c r="B14" s="180"/>
      <c r="C14" s="504"/>
      <c r="D14" s="504"/>
      <c r="E14" s="504"/>
      <c r="F14" s="182"/>
      <c r="G14" s="500"/>
      <c r="H14" s="182"/>
      <c r="I14" s="182"/>
      <c r="J14" s="184"/>
    </row>
    <row r="15" spans="1:10" ht="15">
      <c r="A15" s="160"/>
      <c r="B15" s="160"/>
      <c r="C15" s="176"/>
      <c r="D15" s="176"/>
      <c r="E15" s="161"/>
      <c r="F15" s="161"/>
      <c r="G15" s="161"/>
      <c r="H15" s="161"/>
      <c r="I15" s="161"/>
      <c r="J15" s="462" t="s">
        <v>78</v>
      </c>
    </row>
    <row r="16" spans="1:10" ht="15">
      <c r="A16" s="1575" t="s">
        <v>589</v>
      </c>
      <c r="B16" s="1575" t="s">
        <v>224</v>
      </c>
      <c r="C16" s="1576" t="s">
        <v>1493</v>
      </c>
      <c r="D16" s="1576"/>
      <c r="E16" s="1576"/>
      <c r="F16" s="1576" t="s">
        <v>1494</v>
      </c>
      <c r="G16" s="1576"/>
      <c r="H16" s="1576"/>
      <c r="I16" s="1577" t="s">
        <v>83</v>
      </c>
      <c r="J16" s="1578"/>
    </row>
    <row r="17" spans="1:10" ht="15">
      <c r="A17" s="1575"/>
      <c r="B17" s="1575"/>
      <c r="C17" s="134" t="s">
        <v>55</v>
      </c>
      <c r="D17" s="177" t="s">
        <v>69</v>
      </c>
      <c r="E17" s="177" t="s">
        <v>57</v>
      </c>
      <c r="F17" s="134" t="s">
        <v>55</v>
      </c>
      <c r="G17" s="177" t="s">
        <v>69</v>
      </c>
      <c r="H17" s="177" t="s">
        <v>57</v>
      </c>
      <c r="I17" s="177" t="s">
        <v>81</v>
      </c>
      <c r="J17" s="201" t="s">
        <v>595</v>
      </c>
    </row>
    <row r="18" spans="1:10" ht="15">
      <c r="A18" s="436">
        <v>1</v>
      </c>
      <c r="B18" s="437" t="str">
        <f aca="true" t="shared" si="3" ref="B18:B24">B6</f>
        <v>ADMINISTRAÇÃO</v>
      </c>
      <c r="C18" s="503">
        <f aca="true" t="shared" si="4" ref="C18:D23">C6/1.8</f>
        <v>13995.833333333332</v>
      </c>
      <c r="D18" s="503">
        <f t="shared" si="4"/>
        <v>6944.444444444444</v>
      </c>
      <c r="E18" s="185">
        <f>SUM(C18:D18)</f>
        <v>20940.277777777777</v>
      </c>
      <c r="F18" s="185"/>
      <c r="G18" s="185"/>
      <c r="H18" s="185">
        <f>SUM(F18:G18)</f>
        <v>0</v>
      </c>
      <c r="I18" s="186">
        <f aca="true" t="shared" si="5" ref="I18:I24">E18-H18</f>
        <v>20940.277777777777</v>
      </c>
      <c r="J18" s="178">
        <f aca="true" t="shared" si="6" ref="J18:J24">I18/E18</f>
        <v>1</v>
      </c>
    </row>
    <row r="19" spans="1:10" ht="15">
      <c r="A19" s="436">
        <v>2</v>
      </c>
      <c r="B19" s="437" t="str">
        <f t="shared" si="3"/>
        <v>COMPONENTES</v>
      </c>
      <c r="C19" s="503">
        <f t="shared" si="4"/>
        <v>8418360.277777778</v>
      </c>
      <c r="D19" s="503">
        <f>D7/1.8</f>
        <v>558519.7222222222</v>
      </c>
      <c r="E19" s="185">
        <f>SUM(E20:E23)</f>
        <v>8976880</v>
      </c>
      <c r="F19" s="185">
        <f>SUM(F20:F23)</f>
        <v>664368.1200000001</v>
      </c>
      <c r="G19" s="185">
        <f>SUM(G20:G23)</f>
        <v>239134.33</v>
      </c>
      <c r="H19" s="185">
        <f>SUM(H20:H23)</f>
        <v>903502.4500000001</v>
      </c>
      <c r="I19" s="186">
        <f t="shared" si="5"/>
        <v>8073377.55</v>
      </c>
      <c r="J19" s="178">
        <f t="shared" si="6"/>
        <v>0.8993522860949461</v>
      </c>
    </row>
    <row r="20" spans="1:10" ht="15" customHeight="1">
      <c r="A20" s="438" t="s">
        <v>248</v>
      </c>
      <c r="B20" s="439" t="str">
        <f t="shared" si="3"/>
        <v>GESTÃO ESTRATÉGICA INTEGRADA/INTEGRAÇÃO DA GESTÃO FAZENDÁRIA</v>
      </c>
      <c r="C20" s="503">
        <f t="shared" si="4"/>
        <v>17222.222222222223</v>
      </c>
      <c r="D20" s="503">
        <f t="shared" si="4"/>
        <v>0</v>
      </c>
      <c r="E20" s="185">
        <f>SUM(C20:D20)</f>
        <v>17222.222222222223</v>
      </c>
      <c r="F20" s="185"/>
      <c r="G20" s="185"/>
      <c r="H20" s="185">
        <f>SUM(F20:G20)</f>
        <v>0</v>
      </c>
      <c r="I20" s="186">
        <f t="shared" si="5"/>
        <v>17222.222222222223</v>
      </c>
      <c r="J20" s="178">
        <f t="shared" si="6"/>
        <v>1</v>
      </c>
    </row>
    <row r="21" spans="1:12" ht="33.75" customHeight="1">
      <c r="A21" s="438" t="s">
        <v>249</v>
      </c>
      <c r="B21" s="439" t="str">
        <f t="shared" si="3"/>
        <v>ADMINISTRAÇÃO TRIBUTÁRIA E CONTENCIOSO FISCAL</v>
      </c>
      <c r="C21" s="503">
        <f t="shared" si="4"/>
        <v>7263735.833333333</v>
      </c>
      <c r="D21" s="503">
        <f t="shared" si="4"/>
        <v>432103.05555555556</v>
      </c>
      <c r="E21" s="185">
        <f>SUM(C21:D21)</f>
        <v>7695838.888888889</v>
      </c>
      <c r="F21" s="185"/>
      <c r="G21" s="185">
        <v>239134.33</v>
      </c>
      <c r="H21" s="185">
        <f>SUM(F21:G21)</f>
        <v>239134.33</v>
      </c>
      <c r="I21" s="186">
        <f t="shared" si="5"/>
        <v>7456704.558888889</v>
      </c>
      <c r="J21" s="178">
        <f t="shared" si="6"/>
        <v>0.968926801424435</v>
      </c>
      <c r="L21" s="486"/>
    </row>
    <row r="22" spans="1:10" ht="45">
      <c r="A22" s="438" t="s">
        <v>252</v>
      </c>
      <c r="B22" s="439" t="str">
        <f t="shared" si="3"/>
        <v>ADMINISTRAÇÃO FINANCEIRA, PATRIMONIAL E CONTROLE INTERNO (GESTÃO FISCAL)</v>
      </c>
      <c r="C22" s="503">
        <f t="shared" si="4"/>
        <v>156022.22222222222</v>
      </c>
      <c r="D22" s="503">
        <f t="shared" si="4"/>
        <v>0</v>
      </c>
      <c r="E22" s="185">
        <f>SUM(C22:D22)</f>
        <v>156022.22222222222</v>
      </c>
      <c r="F22" s="185">
        <v>29277.16</v>
      </c>
      <c r="G22" s="185"/>
      <c r="H22" s="185">
        <f>SUM(F22:G22)</f>
        <v>29277.16</v>
      </c>
      <c r="I22" s="186">
        <f t="shared" si="5"/>
        <v>126745.06222222222</v>
      </c>
      <c r="J22" s="178">
        <f t="shared" si="6"/>
        <v>0.8123526278307933</v>
      </c>
    </row>
    <row r="23" spans="1:10" ht="30">
      <c r="A23" s="438" t="s">
        <v>251</v>
      </c>
      <c r="B23" s="439" t="str">
        <f t="shared" si="3"/>
        <v>GESTÃO DE RECUROS ESTRATÉGICOS/CORPORATIVOS</v>
      </c>
      <c r="C23" s="503">
        <f t="shared" si="4"/>
        <v>981380</v>
      </c>
      <c r="D23" s="503">
        <f t="shared" si="4"/>
        <v>126416.66666666666</v>
      </c>
      <c r="E23" s="185">
        <f>SUM(C23:D23)</f>
        <v>1107796.6666666667</v>
      </c>
      <c r="F23" s="185">
        <f>555152.66+53717.65+10379.3+15841.35</f>
        <v>635090.9600000001</v>
      </c>
      <c r="G23" s="185"/>
      <c r="H23" s="185">
        <f>SUM(F23:G23)</f>
        <v>635090.9600000001</v>
      </c>
      <c r="I23" s="186">
        <f t="shared" si="5"/>
        <v>472705.70666666667</v>
      </c>
      <c r="J23" s="178">
        <f t="shared" si="6"/>
        <v>0.42670800598184383</v>
      </c>
    </row>
    <row r="24" spans="1:10" ht="15">
      <c r="A24" s="436">
        <v>3</v>
      </c>
      <c r="B24" s="437" t="str">
        <f t="shared" si="3"/>
        <v>IMPREVISTOS</v>
      </c>
      <c r="C24" s="185"/>
      <c r="D24" s="185"/>
      <c r="E24" s="185">
        <f>SUM(C24:D24)</f>
        <v>0</v>
      </c>
      <c r="F24" s="185"/>
      <c r="G24" s="185"/>
      <c r="H24" s="185">
        <f>SUM(F24:G24)</f>
        <v>0</v>
      </c>
      <c r="I24" s="186">
        <f t="shared" si="5"/>
        <v>0</v>
      </c>
      <c r="J24" s="178" t="e">
        <f t="shared" si="6"/>
        <v>#DIV/0!</v>
      </c>
    </row>
    <row r="25" spans="1:10" ht="15">
      <c r="A25" s="213"/>
      <c r="B25" s="179" t="s">
        <v>80</v>
      </c>
      <c r="C25" s="187">
        <f>C19+C24+C18</f>
        <v>8432356.111111112</v>
      </c>
      <c r="D25" s="187">
        <f>D18+D19+D24</f>
        <v>565464.1666666667</v>
      </c>
      <c r="E25" s="187">
        <f>C25+D25</f>
        <v>8997820.277777778</v>
      </c>
      <c r="F25" s="187">
        <f>F19+F20+F24</f>
        <v>664368.1200000001</v>
      </c>
      <c r="G25" s="187">
        <f>G19+G20+G24</f>
        <v>239134.33</v>
      </c>
      <c r="H25" s="187">
        <f>H19+H20+H24</f>
        <v>903502.4500000001</v>
      </c>
      <c r="I25" s="188"/>
      <c r="J25" s="189"/>
    </row>
    <row r="26" spans="1:10" ht="15.75" thickBot="1">
      <c r="A26" s="191"/>
      <c r="B26" s="191"/>
      <c r="C26" s="501"/>
      <c r="D26" s="501"/>
      <c r="E26" s="501"/>
      <c r="F26" s="501"/>
      <c r="G26" s="501"/>
      <c r="H26" s="192"/>
      <c r="I26" s="192"/>
      <c r="J26" s="193"/>
    </row>
    <row r="27" spans="2:10" ht="15">
      <c r="B27" s="1572" t="s">
        <v>32</v>
      </c>
      <c r="C27" s="1573"/>
      <c r="D27" s="1573"/>
      <c r="E27" s="1573"/>
      <c r="F27" s="1573"/>
      <c r="G27" s="1573"/>
      <c r="H27" s="1573"/>
      <c r="I27" s="1573"/>
      <c r="J27" s="1574"/>
    </row>
    <row r="28" spans="2:10" ht="15">
      <c r="B28" s="1566"/>
      <c r="C28" s="1567"/>
      <c r="D28" s="1567"/>
      <c r="E28" s="1567"/>
      <c r="F28" s="1567"/>
      <c r="G28" s="1567"/>
      <c r="H28" s="1567"/>
      <c r="I28" s="1567"/>
      <c r="J28" s="1568"/>
    </row>
    <row r="29" spans="2:10" ht="15">
      <c r="B29" s="1566"/>
      <c r="C29" s="1567"/>
      <c r="D29" s="1567"/>
      <c r="E29" s="1567"/>
      <c r="F29" s="1567"/>
      <c r="G29" s="1567"/>
      <c r="H29" s="1567"/>
      <c r="I29" s="1567"/>
      <c r="J29" s="1568"/>
    </row>
    <row r="30" spans="2:10" ht="15">
      <c r="B30" s="1566"/>
      <c r="C30" s="1567"/>
      <c r="D30" s="1567"/>
      <c r="E30" s="1567"/>
      <c r="F30" s="1567"/>
      <c r="G30" s="1567"/>
      <c r="H30" s="1567"/>
      <c r="I30" s="1567"/>
      <c r="J30" s="1568"/>
    </row>
    <row r="31" spans="2:10" ht="15">
      <c r="B31" s="1566"/>
      <c r="C31" s="1567"/>
      <c r="D31" s="1567"/>
      <c r="E31" s="1567"/>
      <c r="F31" s="1567"/>
      <c r="G31" s="1567"/>
      <c r="H31" s="1567"/>
      <c r="I31" s="1567"/>
      <c r="J31" s="1568"/>
    </row>
    <row r="32" spans="2:10" ht="15">
      <c r="B32" s="1566"/>
      <c r="C32" s="1567"/>
      <c r="D32" s="1567"/>
      <c r="E32" s="1567"/>
      <c r="F32" s="1567"/>
      <c r="G32" s="1567"/>
      <c r="H32" s="1567"/>
      <c r="I32" s="1567"/>
      <c r="J32" s="1568"/>
    </row>
    <row r="33" spans="2:10" ht="15">
      <c r="B33" s="1566"/>
      <c r="C33" s="1567"/>
      <c r="D33" s="1567"/>
      <c r="E33" s="1567"/>
      <c r="F33" s="1567"/>
      <c r="G33" s="1567"/>
      <c r="H33" s="1567"/>
      <c r="I33" s="1567"/>
      <c r="J33" s="1568"/>
    </row>
    <row r="34" spans="2:10" ht="15">
      <c r="B34" s="1566"/>
      <c r="C34" s="1567"/>
      <c r="D34" s="1567"/>
      <c r="E34" s="1567"/>
      <c r="F34" s="1567"/>
      <c r="G34" s="1567"/>
      <c r="H34" s="1567"/>
      <c r="I34" s="1567"/>
      <c r="J34" s="1568"/>
    </row>
    <row r="35" spans="2:10" ht="15">
      <c r="B35" s="1566"/>
      <c r="C35" s="1567"/>
      <c r="D35" s="1567"/>
      <c r="E35" s="1567"/>
      <c r="F35" s="1567"/>
      <c r="G35" s="1567"/>
      <c r="H35" s="1567"/>
      <c r="I35" s="1567"/>
      <c r="J35" s="1568"/>
    </row>
    <row r="36" spans="2:10" ht="15">
      <c r="B36" s="1566"/>
      <c r="C36" s="1567"/>
      <c r="D36" s="1567"/>
      <c r="E36" s="1567"/>
      <c r="F36" s="1567"/>
      <c r="G36" s="1567"/>
      <c r="H36" s="1567"/>
      <c r="I36" s="1567"/>
      <c r="J36" s="1568"/>
    </row>
    <row r="37" spans="2:10" ht="15.75" thickBot="1">
      <c r="B37" s="1569"/>
      <c r="C37" s="1570"/>
      <c r="D37" s="1570"/>
      <c r="E37" s="1570"/>
      <c r="F37" s="1570"/>
      <c r="G37" s="1570"/>
      <c r="H37" s="1570"/>
      <c r="I37" s="1570"/>
      <c r="J37" s="1571"/>
    </row>
  </sheetData>
  <sheetProtection/>
  <mergeCells count="13">
    <mergeCell ref="B4:B5"/>
    <mergeCell ref="F4:H4"/>
    <mergeCell ref="I4:J4"/>
    <mergeCell ref="A1:B1"/>
    <mergeCell ref="B28:J37"/>
    <mergeCell ref="B27:J27"/>
    <mergeCell ref="B16:B17"/>
    <mergeCell ref="C16:E16"/>
    <mergeCell ref="F16:H16"/>
    <mergeCell ref="A4:A5"/>
    <mergeCell ref="A16:A17"/>
    <mergeCell ref="I16:J16"/>
    <mergeCell ref="C4:E4"/>
  </mergeCells>
  <printOptions/>
  <pageMargins left="0.511811024" right="0.511811024" top="0.787401575" bottom="0.787401575" header="0.31496062" footer="0.31496062"/>
  <pageSetup horizontalDpi="600" verticalDpi="600" orientation="landscape" paperSize="9" scale="80" r:id="rId2"/>
  <drawing r:id="rId1"/>
</worksheet>
</file>

<file path=xl/worksheets/sheet15.xml><?xml version="1.0" encoding="utf-8"?>
<worksheet xmlns="http://schemas.openxmlformats.org/spreadsheetml/2006/main" xmlns:r="http://schemas.openxmlformats.org/officeDocument/2006/relationships">
  <dimension ref="A2:U92"/>
  <sheetViews>
    <sheetView zoomScale="90" zoomScaleNormal="90" zoomScalePageLayoutView="0" workbookViewId="0" topLeftCell="A13">
      <pane xSplit="2" ySplit="4" topLeftCell="C17" activePane="bottomRight" state="frozen"/>
      <selection pane="topLeft" activeCell="A13" sqref="A13"/>
      <selection pane="topRight" activeCell="C13" sqref="C13"/>
      <selection pane="bottomLeft" activeCell="A17" sqref="A17"/>
      <selection pane="bottomRight" activeCell="K17" sqref="K17"/>
    </sheetView>
  </sheetViews>
  <sheetFormatPr defaultColWidth="7.421875" defaultRowHeight="15" customHeight="1"/>
  <cols>
    <col min="1" max="1" width="4.00390625" style="582" customWidth="1"/>
    <col min="2" max="2" width="10.00390625" style="582" customWidth="1"/>
    <col min="3" max="3" width="20.28125" style="582" customWidth="1"/>
    <col min="4" max="4" width="13.28125" style="582" customWidth="1"/>
    <col min="5" max="5" width="10.140625" style="582" customWidth="1"/>
    <col min="6" max="6" width="9.28125" style="582" customWidth="1"/>
    <col min="7" max="7" width="8.421875" style="582" customWidth="1"/>
    <col min="8" max="8" width="12.00390625" style="582" customWidth="1"/>
    <col min="9" max="9" width="13.421875" style="591" customWidth="1"/>
    <col min="10" max="10" width="11.28125" style="591" customWidth="1"/>
    <col min="11" max="11" width="10.28125" style="582" customWidth="1"/>
    <col min="12" max="12" width="27.57421875" style="582" customWidth="1"/>
    <col min="13" max="13" width="12.421875" style="582" customWidth="1"/>
    <col min="14" max="14" width="9.421875" style="582" customWidth="1"/>
    <col min="15" max="15" width="8.7109375" style="582" customWidth="1"/>
    <col min="16" max="16" width="23.8515625" style="582" customWidth="1"/>
    <col min="17" max="17" width="16.421875" style="582" customWidth="1"/>
    <col min="18" max="19" width="19.421875" style="582" customWidth="1"/>
    <col min="20" max="20" width="7.421875" style="582" customWidth="1"/>
    <col min="21" max="21" width="12.00390625" style="582" customWidth="1"/>
    <col min="22" max="16384" width="7.421875" style="582" customWidth="1"/>
  </cols>
  <sheetData>
    <row r="2" spans="2:16" ht="15" customHeight="1">
      <c r="B2" s="1603" t="s">
        <v>103</v>
      </c>
      <c r="C2" s="1603"/>
      <c r="D2" s="1603"/>
      <c r="E2" s="1603"/>
      <c r="F2" s="1603"/>
      <c r="G2" s="1603"/>
      <c r="H2" s="1603"/>
      <c r="I2" s="1603"/>
      <c r="J2" s="1603"/>
      <c r="K2" s="1603"/>
      <c r="L2" s="1603"/>
      <c r="M2" s="1603"/>
      <c r="N2" s="1603"/>
      <c r="O2" s="1603"/>
      <c r="P2" s="1603"/>
    </row>
    <row r="3" spans="2:16" ht="15" customHeight="1">
      <c r="B3" s="1603" t="s">
        <v>181</v>
      </c>
      <c r="C3" s="1603"/>
      <c r="D3" s="1603"/>
      <c r="E3" s="1603"/>
      <c r="F3" s="1603"/>
      <c r="G3" s="1603"/>
      <c r="H3" s="1603"/>
      <c r="I3" s="1603"/>
      <c r="J3" s="1603"/>
      <c r="K3" s="1603"/>
      <c r="L3" s="1603"/>
      <c r="M3" s="1603"/>
      <c r="N3" s="1603"/>
      <c r="O3" s="1603"/>
      <c r="P3" s="1603"/>
    </row>
    <row r="4" spans="2:16" ht="15" customHeight="1">
      <c r="B4" s="1603" t="s">
        <v>104</v>
      </c>
      <c r="C4" s="1603"/>
      <c r="D4" s="1603"/>
      <c r="E4" s="1603"/>
      <c r="F4" s="1603"/>
      <c r="G4" s="1603"/>
      <c r="H4" s="1603"/>
      <c r="I4" s="1603"/>
      <c r="J4" s="1603"/>
      <c r="K4" s="1603"/>
      <c r="L4" s="1603"/>
      <c r="M4" s="1603"/>
      <c r="N4" s="1603"/>
      <c r="O4" s="1603"/>
      <c r="P4" s="1603"/>
    </row>
    <row r="5" spans="2:16" ht="15" customHeight="1">
      <c r="B5" s="583"/>
      <c r="C5" s="583"/>
      <c r="D5" s="583"/>
      <c r="E5" s="583"/>
      <c r="F5" s="583"/>
      <c r="G5" s="583"/>
      <c r="H5" s="583"/>
      <c r="I5" s="583"/>
      <c r="J5" s="583"/>
      <c r="K5" s="583"/>
      <c r="L5" s="583"/>
      <c r="M5" s="583"/>
      <c r="N5" s="583"/>
      <c r="O5" s="583"/>
      <c r="P5" s="583"/>
    </row>
    <row r="6" spans="2:16" ht="15" customHeight="1">
      <c r="B6" s="1603" t="s">
        <v>105</v>
      </c>
      <c r="C6" s="1603"/>
      <c r="D6" s="1603"/>
      <c r="E6" s="1603"/>
      <c r="F6" s="1603"/>
      <c r="G6" s="1603"/>
      <c r="H6" s="1603"/>
      <c r="I6" s="1603"/>
      <c r="J6" s="1603"/>
      <c r="K6" s="1603"/>
      <c r="L6" s="1603"/>
      <c r="M6" s="1603"/>
      <c r="N6" s="1603"/>
      <c r="O6" s="1603"/>
      <c r="P6" s="1603"/>
    </row>
    <row r="7" spans="2:16" ht="15" customHeight="1">
      <c r="B7" s="584"/>
      <c r="C7" s="585"/>
      <c r="D7" s="585"/>
      <c r="E7" s="585"/>
      <c r="F7" s="585"/>
      <c r="G7" s="585"/>
      <c r="H7" s="585"/>
      <c r="I7" s="585"/>
      <c r="J7" s="585"/>
      <c r="K7" s="585"/>
      <c r="L7" s="585"/>
      <c r="M7" s="585"/>
      <c r="N7" s="585"/>
      <c r="O7" s="585"/>
      <c r="P7" s="585"/>
    </row>
    <row r="8" spans="2:16" ht="15" customHeight="1">
      <c r="B8" s="584"/>
      <c r="C8" s="586" t="s">
        <v>182</v>
      </c>
      <c r="D8" s="585"/>
      <c r="E8" s="585"/>
      <c r="F8" s="585"/>
      <c r="G8" s="585"/>
      <c r="H8" s="585"/>
      <c r="I8" s="585"/>
      <c r="J8" s="585"/>
      <c r="K8" s="585"/>
      <c r="L8" s="585"/>
      <c r="M8" s="585"/>
      <c r="N8" s="585"/>
      <c r="O8" s="585"/>
      <c r="P8" s="585"/>
    </row>
    <row r="9" spans="2:16" ht="15" customHeight="1">
      <c r="B9" s="584"/>
      <c r="C9" s="587" t="s">
        <v>183</v>
      </c>
      <c r="D9" s="585"/>
      <c r="E9" s="585"/>
      <c r="F9" s="768"/>
      <c r="G9" s="769"/>
      <c r="H9" s="585"/>
      <c r="I9" s="585"/>
      <c r="J9" s="585"/>
      <c r="K9" s="585"/>
      <c r="L9" s="585"/>
      <c r="M9" s="790"/>
      <c r="N9" s="791"/>
      <c r="O9" s="585"/>
      <c r="P9" s="585"/>
    </row>
    <row r="10" spans="2:16" ht="15" customHeight="1">
      <c r="B10" s="584"/>
      <c r="C10" s="587" t="s">
        <v>106</v>
      </c>
      <c r="D10" s="585"/>
      <c r="E10" s="588"/>
      <c r="F10" s="589"/>
      <c r="G10" s="585"/>
      <c r="H10" s="585"/>
      <c r="I10" s="585"/>
      <c r="J10" s="585"/>
      <c r="K10" s="585"/>
      <c r="L10" s="585"/>
      <c r="M10" s="790"/>
      <c r="N10" s="585"/>
      <c r="O10" s="585"/>
      <c r="P10" s="585"/>
    </row>
    <row r="11" spans="2:16" ht="15" customHeight="1">
      <c r="B11" s="584"/>
      <c r="C11" s="584"/>
      <c r="D11" s="585"/>
      <c r="E11" s="585"/>
      <c r="F11" s="585"/>
      <c r="G11" s="585"/>
      <c r="H11" s="585"/>
      <c r="I11" s="585"/>
      <c r="J11" s="585"/>
      <c r="K11" s="585"/>
      <c r="L11" s="585"/>
      <c r="M11" s="585"/>
      <c r="N11" s="585"/>
      <c r="O11" s="585"/>
      <c r="P11" s="585"/>
    </row>
    <row r="12" spans="5:6" ht="15.75" customHeight="1" thickBot="1">
      <c r="E12" s="590" t="s">
        <v>107</v>
      </c>
      <c r="F12" s="582">
        <v>1.8</v>
      </c>
    </row>
    <row r="13" spans="1:16" ht="15" customHeight="1" thickBot="1">
      <c r="A13" s="1586" t="s">
        <v>108</v>
      </c>
      <c r="B13" s="1608" t="s">
        <v>109</v>
      </c>
      <c r="C13" s="1589" t="s">
        <v>110</v>
      </c>
      <c r="D13" s="592" t="s">
        <v>111</v>
      </c>
      <c r="E13" s="592" t="s">
        <v>112</v>
      </c>
      <c r="F13" s="1611" t="s">
        <v>113</v>
      </c>
      <c r="G13" s="1589" t="s">
        <v>114</v>
      </c>
      <c r="H13" s="1589"/>
      <c r="I13" s="1589" t="s">
        <v>115</v>
      </c>
      <c r="J13" s="1589"/>
      <c r="K13" s="1611" t="s">
        <v>116</v>
      </c>
      <c r="L13" s="1592" t="s">
        <v>577</v>
      </c>
      <c r="M13" s="1632" t="s">
        <v>487</v>
      </c>
      <c r="N13" s="1632" t="s">
        <v>222</v>
      </c>
      <c r="O13" s="1613" t="s">
        <v>223</v>
      </c>
      <c r="P13" s="1604" t="s">
        <v>117</v>
      </c>
    </row>
    <row r="14" spans="1:16" ht="30" customHeight="1" thickBot="1">
      <c r="A14" s="1587"/>
      <c r="B14" s="1609"/>
      <c r="C14" s="1590"/>
      <c r="D14" s="593" t="s">
        <v>118</v>
      </c>
      <c r="E14" s="594" t="s">
        <v>119</v>
      </c>
      <c r="F14" s="1612"/>
      <c r="G14" s="595" t="s">
        <v>55</v>
      </c>
      <c r="H14" s="595" t="s">
        <v>56</v>
      </c>
      <c r="I14" s="596" t="s">
        <v>120</v>
      </c>
      <c r="J14" s="596" t="s">
        <v>121</v>
      </c>
      <c r="K14" s="1612"/>
      <c r="L14" s="1593"/>
      <c r="M14" s="1633"/>
      <c r="N14" s="1633"/>
      <c r="O14" s="1614"/>
      <c r="P14" s="1605"/>
    </row>
    <row r="15" spans="1:19" ht="28.5" customHeight="1" thickBot="1">
      <c r="A15" s="1588"/>
      <c r="B15" s="1610"/>
      <c r="C15" s="1591"/>
      <c r="D15" s="597" t="s">
        <v>122</v>
      </c>
      <c r="E15" s="598" t="s">
        <v>123</v>
      </c>
      <c r="F15" s="598" t="s">
        <v>124</v>
      </c>
      <c r="G15" s="599" t="s">
        <v>125</v>
      </c>
      <c r="H15" s="599" t="s">
        <v>125</v>
      </c>
      <c r="I15" s="600" t="s">
        <v>126</v>
      </c>
      <c r="J15" s="600" t="s">
        <v>127</v>
      </c>
      <c r="K15" s="598" t="s">
        <v>128</v>
      </c>
      <c r="L15" s="1594"/>
      <c r="M15" s="1634"/>
      <c r="N15" s="1634"/>
      <c r="O15" s="1615"/>
      <c r="P15" s="1606"/>
      <c r="S15" s="601"/>
    </row>
    <row r="16" spans="1:16" ht="15" customHeight="1">
      <c r="A16" s="602"/>
      <c r="B16" s="1607" t="s">
        <v>129</v>
      </c>
      <c r="C16" s="1607"/>
      <c r="D16" s="1607"/>
      <c r="E16" s="1607"/>
      <c r="F16" s="1607"/>
      <c r="G16" s="1607"/>
      <c r="H16" s="1607"/>
      <c r="I16" s="1607"/>
      <c r="J16" s="1607"/>
      <c r="K16" s="1607"/>
      <c r="L16" s="1607"/>
      <c r="M16" s="1607"/>
      <c r="N16" s="1607"/>
      <c r="O16" s="1607"/>
      <c r="P16" s="1584"/>
    </row>
    <row r="17" spans="1:17" ht="56.25" customHeight="1">
      <c r="A17" s="603">
        <v>1</v>
      </c>
      <c r="B17" s="604" t="s">
        <v>455</v>
      </c>
      <c r="C17" s="605" t="s">
        <v>130</v>
      </c>
      <c r="D17" s="606">
        <f>(300000+197640+120000)/F12</f>
        <v>343133.3333333333</v>
      </c>
      <c r="E17" s="604" t="s">
        <v>131</v>
      </c>
      <c r="F17" s="604" t="s">
        <v>132</v>
      </c>
      <c r="G17" s="607"/>
      <c r="H17" s="608">
        <v>1</v>
      </c>
      <c r="I17" s="609">
        <v>40050</v>
      </c>
      <c r="J17" s="609">
        <v>40513</v>
      </c>
      <c r="K17" s="1284" t="s">
        <v>1534</v>
      </c>
      <c r="L17" s="799" t="s">
        <v>524</v>
      </c>
      <c r="M17" s="1597">
        <f>(22967+44929)/1.7655</f>
        <v>38457.094307561594</v>
      </c>
      <c r="N17" s="603"/>
      <c r="O17" s="1600">
        <f>M17/SUM(D17+D18+D19)</f>
        <v>0.041450760331503515</v>
      </c>
      <c r="P17" s="1637" t="s">
        <v>488</v>
      </c>
      <c r="Q17" s="610"/>
    </row>
    <row r="18" spans="1:17" ht="43.5" customHeight="1">
      <c r="A18" s="603">
        <f>A17+1</f>
        <v>2</v>
      </c>
      <c r="B18" s="604" t="s">
        <v>456</v>
      </c>
      <c r="C18" s="605" t="s">
        <v>133</v>
      </c>
      <c r="D18" s="606">
        <f>(100000+500000)/F12</f>
        <v>333333.3333333333</v>
      </c>
      <c r="E18" s="604" t="s">
        <v>131</v>
      </c>
      <c r="F18" s="604" t="s">
        <v>132</v>
      </c>
      <c r="G18" s="607"/>
      <c r="H18" s="608">
        <v>1</v>
      </c>
      <c r="I18" s="609">
        <v>40050</v>
      </c>
      <c r="J18" s="609">
        <v>40513</v>
      </c>
      <c r="K18" s="1284" t="s">
        <v>1534</v>
      </c>
      <c r="L18" s="1635" t="s">
        <v>525</v>
      </c>
      <c r="M18" s="1598"/>
      <c r="N18" s="603"/>
      <c r="O18" s="1601"/>
      <c r="P18" s="1638"/>
      <c r="Q18" s="611"/>
    </row>
    <row r="19" spans="1:17" ht="51.75" customHeight="1">
      <c r="A19" s="603">
        <f aca="true" t="shared" si="0" ref="A19:A26">A18+1</f>
        <v>3</v>
      </c>
      <c r="B19" s="604" t="s">
        <v>457</v>
      </c>
      <c r="C19" s="605" t="s">
        <v>134</v>
      </c>
      <c r="D19" s="606">
        <f>(100000+352360)/F12</f>
        <v>251311.1111111111</v>
      </c>
      <c r="E19" s="604" t="s">
        <v>131</v>
      </c>
      <c r="F19" s="604" t="s">
        <v>132</v>
      </c>
      <c r="G19" s="607"/>
      <c r="H19" s="608">
        <v>1</v>
      </c>
      <c r="I19" s="609">
        <v>40050</v>
      </c>
      <c r="J19" s="609">
        <v>40513</v>
      </c>
      <c r="K19" s="1284" t="s">
        <v>1534</v>
      </c>
      <c r="L19" s="1636"/>
      <c r="M19" s="1599"/>
      <c r="N19" s="603"/>
      <c r="O19" s="1602"/>
      <c r="P19" s="1639"/>
      <c r="Q19" s="611"/>
    </row>
    <row r="20" spans="1:17" ht="81" customHeight="1">
      <c r="A20" s="603">
        <f t="shared" si="0"/>
        <v>4</v>
      </c>
      <c r="B20" s="604" t="s">
        <v>459</v>
      </c>
      <c r="C20" s="605" t="s">
        <v>458</v>
      </c>
      <c r="D20" s="612">
        <f>(380640+15000)/F12</f>
        <v>219800</v>
      </c>
      <c r="E20" s="604" t="s">
        <v>451</v>
      </c>
      <c r="F20" s="604" t="s">
        <v>135</v>
      </c>
      <c r="G20" s="608">
        <v>1</v>
      </c>
      <c r="H20" s="608"/>
      <c r="I20" s="609">
        <v>39814</v>
      </c>
      <c r="J20" s="609">
        <v>40513</v>
      </c>
      <c r="K20" s="1284" t="s">
        <v>1534</v>
      </c>
      <c r="L20" s="764" t="s">
        <v>379</v>
      </c>
      <c r="M20" s="762">
        <f>49900/1.7044</f>
        <v>29277.164984745366</v>
      </c>
      <c r="N20" s="735"/>
      <c r="O20" s="766">
        <f>(M20+N20)/D20</f>
        <v>0.13319911276044297</v>
      </c>
      <c r="P20" s="613" t="s">
        <v>489</v>
      </c>
      <c r="Q20" s="614"/>
    </row>
    <row r="21" spans="1:16" ht="56.25" customHeight="1">
      <c r="A21" s="603">
        <f t="shared" si="0"/>
        <v>5</v>
      </c>
      <c r="B21" s="604" t="s">
        <v>461</v>
      </c>
      <c r="C21" s="605" t="s">
        <v>460</v>
      </c>
      <c r="D21" s="612">
        <f>(727720)/F12</f>
        <v>404288.8888888889</v>
      </c>
      <c r="E21" s="604" t="s">
        <v>471</v>
      </c>
      <c r="F21" s="604" t="s">
        <v>132</v>
      </c>
      <c r="G21" s="608">
        <v>1</v>
      </c>
      <c r="H21" s="608"/>
      <c r="I21" s="609">
        <v>40391</v>
      </c>
      <c r="J21" s="609">
        <v>40695</v>
      </c>
      <c r="K21" s="1284" t="s">
        <v>1535</v>
      </c>
      <c r="L21" s="800" t="s">
        <v>218</v>
      </c>
      <c r="M21" s="735"/>
      <c r="N21" s="735"/>
      <c r="O21" s="763"/>
      <c r="P21" s="801" t="s">
        <v>519</v>
      </c>
    </row>
    <row r="22" spans="1:16" ht="63.75" customHeight="1">
      <c r="A22" s="603">
        <f t="shared" si="0"/>
        <v>6</v>
      </c>
      <c r="B22" s="616" t="s">
        <v>463</v>
      </c>
      <c r="C22" s="617" t="s">
        <v>462</v>
      </c>
      <c r="D22" s="618">
        <f>261589.6/F12</f>
        <v>145327.55555555556</v>
      </c>
      <c r="E22" s="616" t="s">
        <v>451</v>
      </c>
      <c r="F22" s="604" t="s">
        <v>135</v>
      </c>
      <c r="G22" s="619">
        <v>1</v>
      </c>
      <c r="H22" s="619"/>
      <c r="I22" s="609">
        <v>39814</v>
      </c>
      <c r="J22" s="620">
        <v>40695</v>
      </c>
      <c r="K22" s="1284" t="s">
        <v>1534</v>
      </c>
      <c r="L22" s="764" t="s">
        <v>526</v>
      </c>
      <c r="M22" s="762">
        <f>261589.6/1.8</f>
        <v>145327.55555555556</v>
      </c>
      <c r="N22" s="735"/>
      <c r="O22" s="766">
        <f>(M22+N22)/D22</f>
        <v>1</v>
      </c>
      <c r="P22" s="765" t="s">
        <v>510</v>
      </c>
    </row>
    <row r="23" spans="1:16" ht="57.75" customHeight="1">
      <c r="A23" s="603">
        <f t="shared" si="0"/>
        <v>7</v>
      </c>
      <c r="B23" s="604" t="s">
        <v>466</v>
      </c>
      <c r="C23" s="621" t="s">
        <v>465</v>
      </c>
      <c r="D23" s="606">
        <f>1400279.4/F12</f>
        <v>777932.9999999999</v>
      </c>
      <c r="E23" s="604" t="s">
        <v>451</v>
      </c>
      <c r="F23" s="604" t="s">
        <v>135</v>
      </c>
      <c r="G23" s="608">
        <v>1</v>
      </c>
      <c r="H23" s="622"/>
      <c r="I23" s="609">
        <v>39814</v>
      </c>
      <c r="J23" s="609">
        <v>40513</v>
      </c>
      <c r="K23" s="1284" t="s">
        <v>1534</v>
      </c>
      <c r="L23" s="799" t="s">
        <v>491</v>
      </c>
      <c r="M23" s="762">
        <f>(1400279.4)/1.8</f>
        <v>777932.9999999999</v>
      </c>
      <c r="N23" s="735"/>
      <c r="O23" s="766">
        <f>(M23+N23)/D23</f>
        <v>1</v>
      </c>
      <c r="P23" s="765" t="s">
        <v>492</v>
      </c>
    </row>
    <row r="24" spans="1:18" s="831" customFormat="1" ht="28.5" customHeight="1">
      <c r="A24" s="820">
        <f t="shared" si="0"/>
        <v>8</v>
      </c>
      <c r="B24" s="821" t="s">
        <v>468</v>
      </c>
      <c r="C24" s="822" t="s">
        <v>467</v>
      </c>
      <c r="D24" s="823">
        <f>44900/F12</f>
        <v>24944.444444444445</v>
      </c>
      <c r="E24" s="821" t="s">
        <v>451</v>
      </c>
      <c r="F24" s="821" t="s">
        <v>132</v>
      </c>
      <c r="G24" s="824">
        <v>0.93</v>
      </c>
      <c r="H24" s="824">
        <v>0.07</v>
      </c>
      <c r="I24" s="825">
        <v>39508</v>
      </c>
      <c r="J24" s="825">
        <v>40513</v>
      </c>
      <c r="K24" s="1284" t="s">
        <v>1534</v>
      </c>
      <c r="L24" s="826" t="s">
        <v>521</v>
      </c>
      <c r="M24" s="912">
        <f>44900/1.7088</f>
        <v>26275.74906367041</v>
      </c>
      <c r="N24" s="827"/>
      <c r="O24" s="911">
        <f>(M24+N24)/D24</f>
        <v>1.0533707865168538</v>
      </c>
      <c r="P24" s="828" t="s">
        <v>360</v>
      </c>
      <c r="Q24" s="829"/>
      <c r="R24" s="830"/>
    </row>
    <row r="25" spans="1:16" ht="51" customHeight="1">
      <c r="A25" s="603">
        <f t="shared" si="0"/>
        <v>9</v>
      </c>
      <c r="B25" s="604" t="s">
        <v>470</v>
      </c>
      <c r="C25" s="605" t="s">
        <v>469</v>
      </c>
      <c r="D25" s="618">
        <f>160000/F12</f>
        <v>88888.88888888889</v>
      </c>
      <c r="E25" s="604" t="s">
        <v>471</v>
      </c>
      <c r="F25" s="604" t="s">
        <v>132</v>
      </c>
      <c r="G25" s="608">
        <v>1</v>
      </c>
      <c r="H25" s="622"/>
      <c r="I25" s="609">
        <v>40513</v>
      </c>
      <c r="J25" s="609">
        <v>40603</v>
      </c>
      <c r="K25" s="1284" t="s">
        <v>1535</v>
      </c>
      <c r="L25" s="735"/>
      <c r="M25" s="735"/>
      <c r="N25" s="735"/>
      <c r="O25" s="763"/>
      <c r="P25" s="765" t="s">
        <v>490</v>
      </c>
    </row>
    <row r="26" spans="1:16" ht="49.5" customHeight="1">
      <c r="A26" s="603">
        <f t="shared" si="0"/>
        <v>10</v>
      </c>
      <c r="B26" s="625" t="s">
        <v>473</v>
      </c>
      <c r="C26" s="626" t="s">
        <v>472</v>
      </c>
      <c r="D26" s="618">
        <f>100000/F12</f>
        <v>55555.555555555555</v>
      </c>
      <c r="E26" s="627" t="s">
        <v>451</v>
      </c>
      <c r="F26" s="604" t="s">
        <v>132</v>
      </c>
      <c r="G26" s="627">
        <v>1</v>
      </c>
      <c r="H26" s="607"/>
      <c r="I26" s="609">
        <v>40330</v>
      </c>
      <c r="J26" s="609">
        <v>40422</v>
      </c>
      <c r="K26" s="1284" t="s">
        <v>1535</v>
      </c>
      <c r="L26" s="764" t="s">
        <v>528</v>
      </c>
      <c r="M26" s="735"/>
      <c r="N26" s="735"/>
      <c r="O26" s="763"/>
      <c r="P26" s="764" t="s">
        <v>528</v>
      </c>
    </row>
    <row r="27" spans="1:16" ht="15" customHeight="1">
      <c r="A27" s="1579" t="s">
        <v>136</v>
      </c>
      <c r="B27" s="1580"/>
      <c r="C27" s="1581"/>
      <c r="D27" s="628">
        <f>SUM(D17:D26)</f>
        <v>2644516.111111111</v>
      </c>
      <c r="E27" s="629"/>
      <c r="F27" s="630"/>
      <c r="G27" s="631"/>
      <c r="H27" s="631"/>
      <c r="I27" s="632"/>
      <c r="J27" s="632"/>
      <c r="K27" s="633"/>
      <c r="L27" s="633"/>
      <c r="M27" s="633"/>
      <c r="N27" s="633"/>
      <c r="O27" s="767"/>
      <c r="P27" s="634"/>
    </row>
    <row r="28" spans="2:16" ht="15" customHeight="1">
      <c r="B28" s="635"/>
      <c r="C28" s="635"/>
      <c r="D28" s="636"/>
      <c r="E28" s="637"/>
      <c r="F28" s="638"/>
      <c r="G28" s="639"/>
      <c r="H28" s="639"/>
      <c r="I28" s="640"/>
      <c r="J28" s="640"/>
      <c r="K28" s="641"/>
      <c r="L28" s="641"/>
      <c r="M28" s="641"/>
      <c r="N28" s="641"/>
      <c r="O28" s="641"/>
      <c r="P28" s="642"/>
    </row>
    <row r="29" spans="1:16" ht="15" customHeight="1">
      <c r="A29" s="643"/>
      <c r="B29" s="1584" t="s">
        <v>137</v>
      </c>
      <c r="C29" s="1585"/>
      <c r="D29" s="1585"/>
      <c r="E29" s="1585"/>
      <c r="F29" s="1585"/>
      <c r="G29" s="1585"/>
      <c r="H29" s="1585"/>
      <c r="I29" s="1585"/>
      <c r="J29" s="1585"/>
      <c r="K29" s="1585"/>
      <c r="L29" s="1585"/>
      <c r="M29" s="1585"/>
      <c r="N29" s="1585"/>
      <c r="O29" s="1585"/>
      <c r="P29" s="1585"/>
    </row>
    <row r="30" spans="1:19" ht="15.75" customHeight="1">
      <c r="A30" s="644">
        <v>1</v>
      </c>
      <c r="B30" s="645" t="s">
        <v>476</v>
      </c>
      <c r="C30" s="646" t="s">
        <v>501</v>
      </c>
      <c r="D30" s="647">
        <f>(750000+205023)/1.8</f>
        <v>530568.3333333334</v>
      </c>
      <c r="E30" s="625" t="s">
        <v>477</v>
      </c>
      <c r="F30" s="604" t="s">
        <v>132</v>
      </c>
      <c r="G30" s="648">
        <v>1</v>
      </c>
      <c r="H30" s="648"/>
      <c r="I30" s="649">
        <v>40359</v>
      </c>
      <c r="J30" s="650">
        <v>40542</v>
      </c>
      <c r="K30" s="1284" t="s">
        <v>1535</v>
      </c>
      <c r="L30" s="736"/>
      <c r="M30" s="736"/>
      <c r="N30" s="736"/>
      <c r="O30" s="736"/>
      <c r="P30" s="784" t="s">
        <v>511</v>
      </c>
      <c r="S30" s="601"/>
    </row>
    <row r="31" spans="1:16" ht="15" customHeight="1">
      <c r="A31" s="1582" t="s">
        <v>138</v>
      </c>
      <c r="B31" s="1583"/>
      <c r="C31" s="1583"/>
      <c r="D31" s="651">
        <f>D30</f>
        <v>530568.3333333334</v>
      </c>
      <c r="E31" s="652"/>
      <c r="F31" s="653"/>
      <c r="G31" s="654"/>
      <c r="H31" s="654"/>
      <c r="I31" s="655"/>
      <c r="J31" s="655"/>
      <c r="K31" s="652"/>
      <c r="L31" s="737"/>
      <c r="M31" s="737"/>
      <c r="N31" s="737"/>
      <c r="O31" s="737"/>
      <c r="P31" s="656"/>
    </row>
    <row r="32" spans="1:17" ht="15" customHeight="1">
      <c r="A32" s="770"/>
      <c r="B32" s="770"/>
      <c r="C32" s="770"/>
      <c r="D32" s="771"/>
      <c r="E32" s="772"/>
      <c r="F32" s="773"/>
      <c r="G32" s="774"/>
      <c r="H32" s="774"/>
      <c r="I32" s="775"/>
      <c r="J32" s="775"/>
      <c r="K32" s="772"/>
      <c r="L32" s="772"/>
      <c r="M32" s="772"/>
      <c r="N32" s="772"/>
      <c r="O32" s="772"/>
      <c r="P32" s="776"/>
      <c r="Q32" s="777"/>
    </row>
    <row r="33" spans="2:19" ht="15" customHeight="1">
      <c r="B33" s="635"/>
      <c r="C33" s="635"/>
      <c r="D33" s="673"/>
      <c r="E33" s="778"/>
      <c r="F33" s="779"/>
      <c r="G33" s="780"/>
      <c r="H33" s="780"/>
      <c r="I33" s="781"/>
      <c r="J33" s="781"/>
      <c r="K33" s="782"/>
      <c r="L33" s="782"/>
      <c r="M33" s="782"/>
      <c r="N33" s="782"/>
      <c r="O33" s="782"/>
      <c r="P33" s="783"/>
      <c r="Q33" s="643"/>
      <c r="R33" s="643"/>
      <c r="S33" s="643"/>
    </row>
    <row r="34" spans="2:16" ht="15" customHeight="1">
      <c r="B34" s="1595" t="s">
        <v>139</v>
      </c>
      <c r="C34" s="1596"/>
      <c r="D34" s="1596"/>
      <c r="E34" s="1596"/>
      <c r="F34" s="1596"/>
      <c r="G34" s="1596"/>
      <c r="H34" s="1596"/>
      <c r="I34" s="1596"/>
      <c r="J34" s="1596"/>
      <c r="K34" s="1596"/>
      <c r="L34" s="1596"/>
      <c r="M34" s="1596"/>
      <c r="N34" s="1596"/>
      <c r="O34" s="1596"/>
      <c r="P34" s="1596"/>
    </row>
    <row r="35" spans="1:16" s="658" customFormat="1" ht="104.25" customHeight="1">
      <c r="A35" s="832">
        <v>1</v>
      </c>
      <c r="B35" s="860" t="s">
        <v>140</v>
      </c>
      <c r="C35" s="861" t="s">
        <v>141</v>
      </c>
      <c r="D35" s="862">
        <f>45108170.4/F12</f>
        <v>25060094.666666664</v>
      </c>
      <c r="E35" s="860" t="s">
        <v>142</v>
      </c>
      <c r="F35" s="836" t="s">
        <v>135</v>
      </c>
      <c r="G35" s="863">
        <v>1</v>
      </c>
      <c r="H35" s="864"/>
      <c r="I35" s="659">
        <v>40057</v>
      </c>
      <c r="J35" s="659">
        <v>40878</v>
      </c>
      <c r="K35" s="1284" t="s">
        <v>1535</v>
      </c>
      <c r="L35" s="865"/>
      <c r="M35" s="866">
        <f>45108170.4/1.7904</f>
        <v>25194465.14745308</v>
      </c>
      <c r="N35" s="839"/>
      <c r="O35" s="840">
        <f>(M35+N35)/D35</f>
        <v>1.0053619302949062</v>
      </c>
      <c r="P35" s="841" t="s">
        <v>166</v>
      </c>
    </row>
    <row r="36" spans="1:16" s="759" customFormat="1" ht="27" customHeight="1">
      <c r="A36" s="752">
        <f>A35+1</f>
        <v>2</v>
      </c>
      <c r="B36" s="743" t="s">
        <v>143</v>
      </c>
      <c r="C36" s="753" t="s">
        <v>144</v>
      </c>
      <c r="D36" s="754">
        <f>4552274.81/F12</f>
        <v>2529041.5611111107</v>
      </c>
      <c r="E36" s="743" t="s">
        <v>145</v>
      </c>
      <c r="F36" s="746" t="s">
        <v>135</v>
      </c>
      <c r="G36" s="755">
        <v>1</v>
      </c>
      <c r="H36" s="756"/>
      <c r="I36" s="649">
        <v>40057</v>
      </c>
      <c r="J36" s="748">
        <v>40695</v>
      </c>
      <c r="K36" s="1284" t="s">
        <v>1535</v>
      </c>
      <c r="L36" s="757"/>
      <c r="M36" s="788"/>
      <c r="N36" s="757"/>
      <c r="O36" s="757"/>
      <c r="P36" s="758" t="s">
        <v>512</v>
      </c>
    </row>
    <row r="37" spans="1:16" s="759" customFormat="1" ht="38.25" customHeight="1">
      <c r="A37" s="752">
        <f>A36+1</f>
        <v>3</v>
      </c>
      <c r="B37" s="743" t="s">
        <v>146</v>
      </c>
      <c r="C37" s="753" t="s">
        <v>147</v>
      </c>
      <c r="D37" s="754">
        <f>930251.28/F12</f>
        <v>516806.26666666666</v>
      </c>
      <c r="E37" s="743" t="s">
        <v>145</v>
      </c>
      <c r="F37" s="746" t="s">
        <v>132</v>
      </c>
      <c r="G37" s="755"/>
      <c r="H37" s="760">
        <v>1</v>
      </c>
      <c r="I37" s="748">
        <v>40108</v>
      </c>
      <c r="J37" s="748">
        <v>41122</v>
      </c>
      <c r="K37" s="1284" t="s">
        <v>1534</v>
      </c>
      <c r="L37" s="757"/>
      <c r="M37" s="787">
        <f>930251/F12</f>
        <v>516806.1111111111</v>
      </c>
      <c r="N37" s="757"/>
      <c r="O37" s="793">
        <f>(M37+N37)/D37</f>
        <v>0.9999996990060578</v>
      </c>
      <c r="P37" s="761" t="s">
        <v>148</v>
      </c>
    </row>
    <row r="38" spans="1:16" s="851" customFormat="1" ht="144.75" customHeight="1">
      <c r="A38" s="842">
        <f>A37+1</f>
        <v>4</v>
      </c>
      <c r="B38" s="843" t="s">
        <v>494</v>
      </c>
      <c r="C38" s="844" t="s">
        <v>493</v>
      </c>
      <c r="D38" s="845">
        <f>4*40600/F12</f>
        <v>90222.22222222222</v>
      </c>
      <c r="E38" s="821" t="s">
        <v>149</v>
      </c>
      <c r="F38" s="821" t="s">
        <v>132</v>
      </c>
      <c r="G38" s="824"/>
      <c r="H38" s="824">
        <f>D38/D38</f>
        <v>1</v>
      </c>
      <c r="I38" s="846">
        <v>40422</v>
      </c>
      <c r="J38" s="846">
        <v>40513</v>
      </c>
      <c r="K38" s="1284" t="s">
        <v>1535</v>
      </c>
      <c r="L38" s="847" t="s">
        <v>550</v>
      </c>
      <c r="M38" s="848"/>
      <c r="N38" s="849"/>
      <c r="O38" s="849"/>
      <c r="P38" s="850" t="s">
        <v>539</v>
      </c>
    </row>
    <row r="39" spans="1:16" s="851" customFormat="1" ht="40.5" customHeight="1">
      <c r="A39" s="842">
        <f aca="true" t="shared" si="1" ref="A39:A50">A38+1</f>
        <v>5</v>
      </c>
      <c r="B39" s="858" t="s">
        <v>537</v>
      </c>
      <c r="C39" s="844" t="s">
        <v>538</v>
      </c>
      <c r="D39" s="848">
        <f>856409.9/F12</f>
        <v>475783.27777777775</v>
      </c>
      <c r="E39" s="855" t="s">
        <v>495</v>
      </c>
      <c r="F39" s="821" t="s">
        <v>132</v>
      </c>
      <c r="G39" s="824"/>
      <c r="H39" s="824">
        <v>1</v>
      </c>
      <c r="I39" s="846">
        <v>40148</v>
      </c>
      <c r="J39" s="846">
        <v>40148</v>
      </c>
      <c r="K39" s="1284" t="s">
        <v>1534</v>
      </c>
      <c r="L39" s="859" t="s">
        <v>504</v>
      </c>
      <c r="M39" s="848">
        <f>856409.9/1.7655</f>
        <v>485080.65703766636</v>
      </c>
      <c r="N39" s="849"/>
      <c r="O39" s="856">
        <f>(M39+N39)/D39</f>
        <v>1.0195412064570943</v>
      </c>
      <c r="P39" s="859" t="s">
        <v>504</v>
      </c>
    </row>
    <row r="40" spans="1:16" s="658" customFormat="1" ht="42" customHeight="1">
      <c r="A40" s="832">
        <f t="shared" si="1"/>
        <v>6</v>
      </c>
      <c r="B40" s="833" t="s">
        <v>455</v>
      </c>
      <c r="C40" s="834" t="s">
        <v>496</v>
      </c>
      <c r="D40" s="835">
        <f>440000/F12</f>
        <v>244444.44444444444</v>
      </c>
      <c r="E40" s="836" t="s">
        <v>149</v>
      </c>
      <c r="F40" s="836" t="s">
        <v>132</v>
      </c>
      <c r="G40" s="622"/>
      <c r="H40" s="622">
        <f>D40/D40</f>
        <v>1</v>
      </c>
      <c r="I40" s="659">
        <v>40179</v>
      </c>
      <c r="J40" s="659">
        <v>41275</v>
      </c>
      <c r="K40" s="1284" t="s">
        <v>1534</v>
      </c>
      <c r="L40" s="837" t="s">
        <v>523</v>
      </c>
      <c r="M40" s="838">
        <f>440000/1.6727</f>
        <v>263047.76708315895</v>
      </c>
      <c r="N40" s="839"/>
      <c r="O40" s="840">
        <f>(M40+N40)/D40</f>
        <v>1.076104501703832</v>
      </c>
      <c r="P40" s="841" t="s">
        <v>150</v>
      </c>
    </row>
    <row r="41" spans="1:16" s="851" customFormat="1" ht="117" customHeight="1">
      <c r="A41" s="842">
        <f t="shared" si="1"/>
        <v>7</v>
      </c>
      <c r="B41" s="852" t="s">
        <v>456</v>
      </c>
      <c r="C41" s="853" t="s">
        <v>497</v>
      </c>
      <c r="D41" s="845">
        <f>(18*60000)/F12</f>
        <v>600000</v>
      </c>
      <c r="E41" s="821" t="s">
        <v>149</v>
      </c>
      <c r="F41" s="821" t="s">
        <v>132</v>
      </c>
      <c r="G41" s="824"/>
      <c r="H41" s="824">
        <f>D41/D41</f>
        <v>1</v>
      </c>
      <c r="I41" s="846">
        <v>40422</v>
      </c>
      <c r="J41" s="846">
        <v>40513</v>
      </c>
      <c r="K41" s="1284" t="s">
        <v>1535</v>
      </c>
      <c r="L41" s="847" t="s">
        <v>550</v>
      </c>
      <c r="M41" s="848"/>
      <c r="N41" s="849"/>
      <c r="O41" s="849"/>
      <c r="P41" s="850" t="s">
        <v>514</v>
      </c>
    </row>
    <row r="42" spans="1:16" s="851" customFormat="1" ht="46.5" customHeight="1">
      <c r="A42" s="842">
        <f t="shared" si="1"/>
        <v>8</v>
      </c>
      <c r="B42" s="852" t="s">
        <v>457</v>
      </c>
      <c r="C42" s="854" t="s">
        <v>540</v>
      </c>
      <c r="D42" s="848">
        <f>612180.8/F12</f>
        <v>340100.44444444444</v>
      </c>
      <c r="E42" s="855" t="s">
        <v>495</v>
      </c>
      <c r="F42" s="821" t="s">
        <v>132</v>
      </c>
      <c r="G42" s="824"/>
      <c r="H42" s="824">
        <v>1</v>
      </c>
      <c r="I42" s="846">
        <v>39692</v>
      </c>
      <c r="J42" s="846">
        <v>39783</v>
      </c>
      <c r="K42" s="1284" t="s">
        <v>1534</v>
      </c>
      <c r="L42" s="847" t="s">
        <v>520</v>
      </c>
      <c r="M42" s="848">
        <f>612180.8/1.7088</f>
        <v>358251.87265917606</v>
      </c>
      <c r="N42" s="849"/>
      <c r="O42" s="856">
        <f aca="true" t="shared" si="2" ref="O42:O48">(M42+N42)/D42</f>
        <v>1.053370786516854</v>
      </c>
      <c r="P42" s="857" t="s">
        <v>520</v>
      </c>
    </row>
    <row r="43" spans="1:18" s="831" customFormat="1" ht="145.5" customHeight="1">
      <c r="A43" s="842">
        <f t="shared" si="1"/>
        <v>9</v>
      </c>
      <c r="B43" s="852" t="s">
        <v>464</v>
      </c>
      <c r="C43" s="867" t="s">
        <v>541</v>
      </c>
      <c r="D43" s="871">
        <f>(1925780/1.8+12644.02/1.8)+(22934/1.8)</f>
        <v>1089643.3444444444</v>
      </c>
      <c r="E43" s="855" t="s">
        <v>495</v>
      </c>
      <c r="F43" s="821" t="s">
        <v>132</v>
      </c>
      <c r="G43" s="824"/>
      <c r="H43" s="893">
        <v>1</v>
      </c>
      <c r="I43" s="846">
        <v>39539</v>
      </c>
      <c r="J43" s="846">
        <v>40513</v>
      </c>
      <c r="K43" s="1284" t="s">
        <v>1534</v>
      </c>
      <c r="L43" s="870" t="s">
        <v>544</v>
      </c>
      <c r="M43" s="871">
        <f>(1925780/1.7088+12644.02/1.7088)+(22934/1.7655)</f>
        <v>1147367.440321916</v>
      </c>
      <c r="N43" s="872"/>
      <c r="O43" s="873">
        <f t="shared" si="2"/>
        <v>1.0529752199853084</v>
      </c>
      <c r="P43" s="874" t="s">
        <v>542</v>
      </c>
      <c r="Q43" s="875"/>
      <c r="R43" s="876"/>
    </row>
    <row r="44" spans="1:18" s="831" customFormat="1" ht="51.75" customHeight="1">
      <c r="A44" s="842">
        <f t="shared" si="1"/>
        <v>10</v>
      </c>
      <c r="B44" s="852" t="s">
        <v>464</v>
      </c>
      <c r="C44" s="867" t="s">
        <v>545</v>
      </c>
      <c r="D44" s="868">
        <f>1930000/1.8</f>
        <v>1072222.2222222222</v>
      </c>
      <c r="E44" s="855" t="s">
        <v>495</v>
      </c>
      <c r="F44" s="821" t="s">
        <v>132</v>
      </c>
      <c r="G44" s="824">
        <v>1</v>
      </c>
      <c r="H44" s="869"/>
      <c r="I44" s="846">
        <v>40057</v>
      </c>
      <c r="J44" s="846">
        <v>40057</v>
      </c>
      <c r="K44" s="1284" t="s">
        <v>1536</v>
      </c>
      <c r="L44" s="870" t="s">
        <v>546</v>
      </c>
      <c r="M44" s="871">
        <f>2500000/1.7088</f>
        <v>1463014.981273408</v>
      </c>
      <c r="N44" s="872"/>
      <c r="O44" s="873">
        <f t="shared" si="2"/>
        <v>1.364469930721313</v>
      </c>
      <c r="P44" s="874" t="s">
        <v>547</v>
      </c>
      <c r="Q44" s="875"/>
      <c r="R44" s="876"/>
    </row>
    <row r="45" spans="1:16" s="831" customFormat="1" ht="51" customHeight="1">
      <c r="A45" s="842">
        <f t="shared" si="1"/>
        <v>11</v>
      </c>
      <c r="B45" s="852" t="s">
        <v>464</v>
      </c>
      <c r="C45" s="867" t="s">
        <v>151</v>
      </c>
      <c r="D45" s="868">
        <f>441079.86/F12</f>
        <v>245044.36666666664</v>
      </c>
      <c r="E45" s="877" t="s">
        <v>145</v>
      </c>
      <c r="F45" s="821" t="s">
        <v>135</v>
      </c>
      <c r="G45" s="824">
        <v>1</v>
      </c>
      <c r="H45" s="878"/>
      <c r="I45" s="846">
        <v>39934</v>
      </c>
      <c r="J45" s="846">
        <v>40695</v>
      </c>
      <c r="K45" s="1284" t="s">
        <v>1534</v>
      </c>
      <c r="L45" s="872"/>
      <c r="M45" s="871">
        <f>441079.86/1.6727</f>
        <v>263693.3460871644</v>
      </c>
      <c r="N45" s="872"/>
      <c r="O45" s="873">
        <f t="shared" si="2"/>
        <v>1.076104501703832</v>
      </c>
      <c r="P45" s="879" t="s">
        <v>543</v>
      </c>
    </row>
    <row r="46" spans="1:16" ht="54.75" customHeight="1">
      <c r="A46" s="657">
        <f t="shared" si="1"/>
        <v>12</v>
      </c>
      <c r="B46" s="662" t="s">
        <v>464</v>
      </c>
      <c r="C46" s="663" t="s">
        <v>498</v>
      </c>
      <c r="D46" s="661">
        <f>(263033+18572+5000)/F12</f>
        <v>159225</v>
      </c>
      <c r="E46" s="664" t="s">
        <v>478</v>
      </c>
      <c r="F46" s="604" t="s">
        <v>132</v>
      </c>
      <c r="G46" s="627">
        <v>1</v>
      </c>
      <c r="H46" s="648"/>
      <c r="I46" s="649">
        <v>40269</v>
      </c>
      <c r="J46" s="659">
        <v>41395</v>
      </c>
      <c r="K46" s="1284" t="s">
        <v>1534</v>
      </c>
      <c r="L46" s="792" t="s">
        <v>502</v>
      </c>
      <c r="M46" s="789">
        <f>263033/1.6727</f>
        <v>157250.5529981467</v>
      </c>
      <c r="N46" s="786">
        <f>23572/1.8</f>
        <v>13095.555555555555</v>
      </c>
      <c r="O46" s="785">
        <f t="shared" si="2"/>
        <v>1.0698452413484205</v>
      </c>
      <c r="P46" s="665" t="s">
        <v>513</v>
      </c>
    </row>
    <row r="47" spans="1:16" s="831" customFormat="1" ht="54.75" customHeight="1">
      <c r="A47" s="842">
        <f t="shared" si="1"/>
        <v>13</v>
      </c>
      <c r="B47" s="880" t="s">
        <v>482</v>
      </c>
      <c r="C47" s="881" t="s">
        <v>548</v>
      </c>
      <c r="D47" s="871">
        <f>304155.8/F12</f>
        <v>168975.44444444444</v>
      </c>
      <c r="E47" s="882" t="s">
        <v>485</v>
      </c>
      <c r="F47" s="821" t="s">
        <v>132</v>
      </c>
      <c r="G47" s="883">
        <v>1</v>
      </c>
      <c r="H47" s="884"/>
      <c r="I47" s="846">
        <v>39873</v>
      </c>
      <c r="J47" s="846">
        <v>39965</v>
      </c>
      <c r="K47" s="1284" t="s">
        <v>1534</v>
      </c>
      <c r="L47" s="885" t="s">
        <v>551</v>
      </c>
      <c r="M47" s="871">
        <f>304155.8/1.7088</f>
        <v>177993.7968164794</v>
      </c>
      <c r="N47" s="886"/>
      <c r="O47" s="873">
        <f t="shared" si="2"/>
        <v>1.0533707865168538</v>
      </c>
      <c r="P47" s="885" t="s">
        <v>551</v>
      </c>
    </row>
    <row r="48" spans="1:16" s="831" customFormat="1" ht="54.75" customHeight="1">
      <c r="A48" s="842">
        <f t="shared" si="1"/>
        <v>14</v>
      </c>
      <c r="B48" s="880" t="s">
        <v>484</v>
      </c>
      <c r="C48" s="881" t="s">
        <v>549</v>
      </c>
      <c r="D48" s="871">
        <f>136326/F12</f>
        <v>75736.66666666667</v>
      </c>
      <c r="E48" s="882" t="s">
        <v>485</v>
      </c>
      <c r="F48" s="821" t="s">
        <v>132</v>
      </c>
      <c r="G48" s="883">
        <v>1</v>
      </c>
      <c r="H48" s="884"/>
      <c r="I48" s="846">
        <v>40057</v>
      </c>
      <c r="J48" s="846">
        <v>40057</v>
      </c>
      <c r="K48" s="1284" t="s">
        <v>1534</v>
      </c>
      <c r="L48" s="885" t="s">
        <v>552</v>
      </c>
      <c r="M48" s="871">
        <f>136326/1.7088</f>
        <v>79778.79213483146</v>
      </c>
      <c r="N48" s="886"/>
      <c r="O48" s="873">
        <f t="shared" si="2"/>
        <v>1.0533707865168538</v>
      </c>
      <c r="P48" s="885" t="s">
        <v>552</v>
      </c>
    </row>
    <row r="49" spans="1:18" s="831" customFormat="1" ht="66" customHeight="1">
      <c r="A49" s="842">
        <f t="shared" si="1"/>
        <v>15</v>
      </c>
      <c r="B49" s="887" t="s">
        <v>499</v>
      </c>
      <c r="C49" s="888" t="s">
        <v>152</v>
      </c>
      <c r="D49" s="868">
        <f>(5000+(8*200)+(3*3000)+(8*2000)+(4*150)+(2*200)+(8*300))/F12</f>
        <v>19444.444444444445</v>
      </c>
      <c r="E49" s="821" t="s">
        <v>149</v>
      </c>
      <c r="F49" s="821" t="s">
        <v>132</v>
      </c>
      <c r="G49" s="824">
        <f>D49/D49</f>
        <v>1</v>
      </c>
      <c r="H49" s="824"/>
      <c r="I49" s="846">
        <v>40422</v>
      </c>
      <c r="J49" s="846">
        <v>40513</v>
      </c>
      <c r="K49" s="1284" t="s">
        <v>1535</v>
      </c>
      <c r="L49" s="872"/>
      <c r="M49" s="871"/>
      <c r="N49" s="872"/>
      <c r="O49" s="872"/>
      <c r="P49" s="889" t="s">
        <v>289</v>
      </c>
      <c r="R49" s="890"/>
    </row>
    <row r="50" spans="1:18" s="831" customFormat="1" ht="46.5" customHeight="1">
      <c r="A50" s="842">
        <f t="shared" si="1"/>
        <v>16</v>
      </c>
      <c r="B50" s="891" t="s">
        <v>476</v>
      </c>
      <c r="C50" s="888" t="s">
        <v>500</v>
      </c>
      <c r="D50" s="868">
        <f>((300*150)+(200*150))/F12</f>
        <v>41666.666666666664</v>
      </c>
      <c r="E50" s="821" t="s">
        <v>149</v>
      </c>
      <c r="F50" s="821" t="s">
        <v>132</v>
      </c>
      <c r="G50" s="824">
        <f>D50/D50</f>
        <v>1</v>
      </c>
      <c r="H50" s="824"/>
      <c r="I50" s="846">
        <v>40422</v>
      </c>
      <c r="J50" s="846">
        <v>40513</v>
      </c>
      <c r="K50" s="1284" t="s">
        <v>1535</v>
      </c>
      <c r="L50" s="872"/>
      <c r="M50" s="871"/>
      <c r="N50" s="872"/>
      <c r="O50" s="872"/>
      <c r="P50" s="892" t="s">
        <v>290</v>
      </c>
      <c r="R50" s="890"/>
    </row>
    <row r="51" spans="1:16" ht="15" customHeight="1">
      <c r="A51" s="1579" t="s">
        <v>153</v>
      </c>
      <c r="B51" s="1580"/>
      <c r="C51" s="1581"/>
      <c r="D51" s="667">
        <f>SUM(D35:D50)</f>
        <v>32728451.038888887</v>
      </c>
      <c r="E51" s="668"/>
      <c r="F51" s="669"/>
      <c r="G51" s="670"/>
      <c r="H51" s="670"/>
      <c r="I51" s="671"/>
      <c r="J51" s="671"/>
      <c r="K51" s="668"/>
      <c r="L51" s="738"/>
      <c r="M51" s="738"/>
      <c r="N51" s="738"/>
      <c r="O51" s="738"/>
      <c r="P51" s="672"/>
    </row>
    <row r="52" spans="2:16" ht="15" customHeight="1">
      <c r="B52" s="635"/>
      <c r="C52" s="635"/>
      <c r="D52" s="673"/>
      <c r="E52" s="674"/>
      <c r="F52" s="675"/>
      <c r="G52" s="676"/>
      <c r="H52" s="676"/>
      <c r="I52" s="677"/>
      <c r="J52" s="677"/>
      <c r="K52" s="678"/>
      <c r="L52" s="678"/>
      <c r="M52" s="678"/>
      <c r="N52" s="678"/>
      <c r="O52" s="678"/>
      <c r="P52" s="679"/>
    </row>
    <row r="53" spans="2:16" ht="15" customHeight="1">
      <c r="B53" s="1595" t="s">
        <v>154</v>
      </c>
      <c r="C53" s="1596"/>
      <c r="D53" s="1596"/>
      <c r="E53" s="1596"/>
      <c r="F53" s="1596"/>
      <c r="G53" s="1596"/>
      <c r="H53" s="1596"/>
      <c r="I53" s="1596"/>
      <c r="J53" s="1596"/>
      <c r="K53" s="1596"/>
      <c r="L53" s="1618"/>
      <c r="M53" s="1618"/>
      <c r="N53" s="1618"/>
      <c r="O53" s="1618"/>
      <c r="P53" s="1618"/>
    </row>
    <row r="54" spans="1:16" ht="54.75" customHeight="1">
      <c r="A54" s="615">
        <v>1</v>
      </c>
      <c r="B54" s="680" t="s">
        <v>155</v>
      </c>
      <c r="C54" s="681" t="s">
        <v>156</v>
      </c>
      <c r="D54" s="682">
        <f>(100000+90000)/F12</f>
        <v>105555.55555555555</v>
      </c>
      <c r="E54" s="615" t="s">
        <v>149</v>
      </c>
      <c r="F54" s="604" t="s">
        <v>132</v>
      </c>
      <c r="G54" s="683">
        <f>D54/D54</f>
        <v>1</v>
      </c>
      <c r="H54" s="683"/>
      <c r="I54" s="649">
        <v>40422</v>
      </c>
      <c r="J54" s="649">
        <v>41395</v>
      </c>
      <c r="K54" s="1284" t="s">
        <v>1535</v>
      </c>
      <c r="L54" s="764" t="s">
        <v>529</v>
      </c>
      <c r="M54" s="735"/>
      <c r="N54" s="735"/>
      <c r="O54" s="735"/>
      <c r="P54" s="794" t="s">
        <v>288</v>
      </c>
    </row>
    <row r="55" spans="1:16" ht="36" customHeight="1">
      <c r="A55" s="615">
        <f aca="true" t="shared" si="3" ref="A55:A70">A54+1</f>
        <v>2</v>
      </c>
      <c r="B55" s="680" t="s">
        <v>475</v>
      </c>
      <c r="C55" s="684" t="s">
        <v>474</v>
      </c>
      <c r="D55" s="682">
        <f>100000/F12</f>
        <v>55555.555555555555</v>
      </c>
      <c r="E55" s="685" t="s">
        <v>157</v>
      </c>
      <c r="F55" s="604" t="s">
        <v>135</v>
      </c>
      <c r="G55" s="686">
        <v>1</v>
      </c>
      <c r="H55" s="686"/>
      <c r="I55" s="649">
        <v>40299</v>
      </c>
      <c r="J55" s="649">
        <v>41395</v>
      </c>
      <c r="K55" s="1284" t="s">
        <v>1535</v>
      </c>
      <c r="L55" s="764" t="s">
        <v>82</v>
      </c>
      <c r="M55" s="735"/>
      <c r="N55" s="735"/>
      <c r="O55" s="735"/>
      <c r="P55" s="794" t="s">
        <v>291</v>
      </c>
    </row>
    <row r="56" spans="1:16" ht="69.75" customHeight="1">
      <c r="A56" s="615">
        <f t="shared" si="3"/>
        <v>3</v>
      </c>
      <c r="B56" s="680" t="s">
        <v>475</v>
      </c>
      <c r="C56" s="687" t="s">
        <v>158</v>
      </c>
      <c r="D56" s="682">
        <f>(20000+20000+20000+20000)/F12</f>
        <v>44444.444444444445</v>
      </c>
      <c r="E56" s="615" t="s">
        <v>477</v>
      </c>
      <c r="F56" s="604" t="s">
        <v>132</v>
      </c>
      <c r="G56" s="686">
        <v>1</v>
      </c>
      <c r="H56" s="686"/>
      <c r="I56" s="609">
        <v>40330</v>
      </c>
      <c r="J56" s="609">
        <v>40422</v>
      </c>
      <c r="K56" s="1284" t="s">
        <v>1535</v>
      </c>
      <c r="L56" s="735"/>
      <c r="M56" s="735"/>
      <c r="N56" s="735"/>
      <c r="O56" s="735"/>
      <c r="P56" s="794" t="s">
        <v>292</v>
      </c>
    </row>
    <row r="57" spans="1:17" s="624" customFormat="1" ht="67.5" customHeight="1">
      <c r="A57" s="615">
        <f t="shared" si="3"/>
        <v>4</v>
      </c>
      <c r="B57" s="604" t="s">
        <v>454</v>
      </c>
      <c r="C57" s="605" t="s">
        <v>453</v>
      </c>
      <c r="D57" s="688">
        <f>106000/F12</f>
        <v>58888.88888888889</v>
      </c>
      <c r="E57" s="603" t="s">
        <v>477</v>
      </c>
      <c r="F57" s="604" t="s">
        <v>132</v>
      </c>
      <c r="G57" s="689"/>
      <c r="H57" s="608">
        <v>1</v>
      </c>
      <c r="I57" s="649">
        <v>40513</v>
      </c>
      <c r="J57" s="649">
        <v>40603</v>
      </c>
      <c r="K57" s="1284" t="s">
        <v>1535</v>
      </c>
      <c r="L57" s="764" t="s">
        <v>378</v>
      </c>
      <c r="M57" s="735"/>
      <c r="N57" s="735"/>
      <c r="O57" s="735"/>
      <c r="P57" s="765" t="s">
        <v>373</v>
      </c>
      <c r="Q57" s="623"/>
    </row>
    <row r="58" spans="1:17" ht="29.25" customHeight="1">
      <c r="A58" s="615">
        <f t="shared" si="3"/>
        <v>5</v>
      </c>
      <c r="B58" s="691" t="s">
        <v>464</v>
      </c>
      <c r="C58" s="692" t="s">
        <v>159</v>
      </c>
      <c r="D58" s="693">
        <f>68999.7/F12</f>
        <v>38333.166666666664</v>
      </c>
      <c r="E58" s="690" t="s">
        <v>149</v>
      </c>
      <c r="F58" s="604" t="s">
        <v>132</v>
      </c>
      <c r="G58" s="694"/>
      <c r="H58" s="694">
        <v>1</v>
      </c>
      <c r="I58" s="649">
        <v>39630</v>
      </c>
      <c r="J58" s="649">
        <v>40330</v>
      </c>
      <c r="K58" s="1284" t="s">
        <v>1534</v>
      </c>
      <c r="L58" s="795" t="s">
        <v>522</v>
      </c>
      <c r="M58" s="796">
        <f>68999/1.7088</f>
        <v>40378.628277153555</v>
      </c>
      <c r="N58" s="739"/>
      <c r="O58" s="797">
        <f>(M58+N58)/D58</f>
        <v>1.0533601001000932</v>
      </c>
      <c r="P58" s="695" t="s">
        <v>160</v>
      </c>
      <c r="Q58" s="660"/>
    </row>
    <row r="59" spans="1:17" ht="79.5" customHeight="1">
      <c r="A59" s="615">
        <f t="shared" si="3"/>
        <v>6</v>
      </c>
      <c r="B59" s="691" t="s">
        <v>466</v>
      </c>
      <c r="C59" s="692" t="s">
        <v>161</v>
      </c>
      <c r="D59" s="693">
        <f>100000/F12</f>
        <v>55555.555555555555</v>
      </c>
      <c r="E59" s="690" t="s">
        <v>477</v>
      </c>
      <c r="F59" s="604" t="s">
        <v>132</v>
      </c>
      <c r="G59" s="694">
        <v>1</v>
      </c>
      <c r="H59" s="694"/>
      <c r="I59" s="649">
        <v>40330</v>
      </c>
      <c r="J59" s="649">
        <v>40422</v>
      </c>
      <c r="K59" s="1284" t="s">
        <v>1535</v>
      </c>
      <c r="L59" s="739"/>
      <c r="M59" s="739"/>
      <c r="N59" s="739"/>
      <c r="O59" s="739"/>
      <c r="P59" s="809" t="s">
        <v>1</v>
      </c>
      <c r="Q59" s="660"/>
    </row>
    <row r="60" spans="1:17" ht="46.5" customHeight="1">
      <c r="A60" s="615">
        <f t="shared" si="3"/>
        <v>7</v>
      </c>
      <c r="B60" s="680" t="s">
        <v>484</v>
      </c>
      <c r="C60" s="687" t="s">
        <v>483</v>
      </c>
      <c r="D60" s="693">
        <f>60000/F12</f>
        <v>33333.333333333336</v>
      </c>
      <c r="E60" s="690" t="s">
        <v>477</v>
      </c>
      <c r="F60" s="604" t="s">
        <v>132</v>
      </c>
      <c r="G60" s="686">
        <v>1</v>
      </c>
      <c r="H60" s="686"/>
      <c r="I60" s="649">
        <v>40330</v>
      </c>
      <c r="J60" s="649">
        <v>40422</v>
      </c>
      <c r="K60" s="1284" t="s">
        <v>1535</v>
      </c>
      <c r="L60" s="798" t="s">
        <v>530</v>
      </c>
      <c r="M60" s="739"/>
      <c r="N60" s="739"/>
      <c r="O60" s="739"/>
      <c r="P60" s="810" t="s">
        <v>0</v>
      </c>
      <c r="Q60" s="660"/>
    </row>
    <row r="61" spans="1:18" s="831" customFormat="1" ht="38.25" customHeight="1">
      <c r="A61" s="820">
        <f t="shared" si="3"/>
        <v>8</v>
      </c>
      <c r="B61" s="894" t="s">
        <v>476</v>
      </c>
      <c r="C61" s="895" t="s">
        <v>532</v>
      </c>
      <c r="D61" s="896">
        <f>13727.5/1.7655</f>
        <v>7775.417728688756</v>
      </c>
      <c r="E61" s="897" t="s">
        <v>162</v>
      </c>
      <c r="F61" s="821" t="s">
        <v>135</v>
      </c>
      <c r="G61" s="898">
        <v>1</v>
      </c>
      <c r="H61" s="898"/>
      <c r="I61" s="846">
        <v>40057</v>
      </c>
      <c r="J61" s="846">
        <v>41395</v>
      </c>
      <c r="K61" s="1284" t="s">
        <v>1534</v>
      </c>
      <c r="L61" s="899" t="s">
        <v>296</v>
      </c>
      <c r="M61" s="1626">
        <f>(13727.5+10702.41+11603.27+5651.54)/1.7655</f>
        <v>23610.716510903425</v>
      </c>
      <c r="N61" s="900"/>
      <c r="O61" s="1629">
        <f>(M61+N61+N62+58+59)/(D61+D62+D63+D64)</f>
        <v>1.0049553769342818</v>
      </c>
      <c r="P61" s="901" t="s">
        <v>163</v>
      </c>
      <c r="R61" s="902"/>
    </row>
    <row r="62" spans="1:18" s="831" customFormat="1" ht="66" customHeight="1">
      <c r="A62" s="820">
        <f t="shared" si="3"/>
        <v>9</v>
      </c>
      <c r="B62" s="894" t="s">
        <v>476</v>
      </c>
      <c r="C62" s="895" t="s">
        <v>533</v>
      </c>
      <c r="D62" s="896">
        <f>10702.41/1.7655</f>
        <v>6061.97111299915</v>
      </c>
      <c r="E62" s="897" t="s">
        <v>162</v>
      </c>
      <c r="F62" s="821" t="s">
        <v>135</v>
      </c>
      <c r="G62" s="898">
        <v>1</v>
      </c>
      <c r="H62" s="898"/>
      <c r="I62" s="846">
        <v>40057</v>
      </c>
      <c r="J62" s="846">
        <v>41395</v>
      </c>
      <c r="K62" s="1284" t="s">
        <v>1534</v>
      </c>
      <c r="L62" s="899" t="s">
        <v>297</v>
      </c>
      <c r="M62" s="1627"/>
      <c r="N62" s="900"/>
      <c r="O62" s="1630">
        <f>(M62+N62)/D62</f>
        <v>0</v>
      </c>
      <c r="P62" s="903" t="s">
        <v>164</v>
      </c>
      <c r="R62" s="876"/>
    </row>
    <row r="63" spans="1:16" s="831" customFormat="1" ht="104.25" customHeight="1">
      <c r="A63" s="820">
        <f t="shared" si="3"/>
        <v>10</v>
      </c>
      <c r="B63" s="894" t="s">
        <v>476</v>
      </c>
      <c r="C63" s="895" t="s">
        <v>534</v>
      </c>
      <c r="D63" s="896">
        <f>11603.27/1.7655</f>
        <v>6572.2288303596715</v>
      </c>
      <c r="E63" s="897" t="s">
        <v>162</v>
      </c>
      <c r="F63" s="821" t="s">
        <v>135</v>
      </c>
      <c r="G63" s="898">
        <v>1</v>
      </c>
      <c r="H63" s="898"/>
      <c r="I63" s="846">
        <v>40057</v>
      </c>
      <c r="J63" s="846">
        <v>41395</v>
      </c>
      <c r="K63" s="1284" t="s">
        <v>1534</v>
      </c>
      <c r="L63" s="859" t="s">
        <v>515</v>
      </c>
      <c r="M63" s="1627"/>
      <c r="N63" s="900"/>
      <c r="O63" s="1630">
        <f>(M63+N63)/D63</f>
        <v>0</v>
      </c>
      <c r="P63" s="903" t="s">
        <v>165</v>
      </c>
    </row>
    <row r="64" spans="1:16" s="831" customFormat="1" ht="70.5" customHeight="1">
      <c r="A64" s="820">
        <f t="shared" si="3"/>
        <v>11</v>
      </c>
      <c r="B64" s="894" t="s">
        <v>476</v>
      </c>
      <c r="C64" s="895" t="s">
        <v>535</v>
      </c>
      <c r="D64" s="896">
        <f>5651.54/1.7655</f>
        <v>3201.098838855848</v>
      </c>
      <c r="E64" s="897" t="s">
        <v>162</v>
      </c>
      <c r="F64" s="821" t="s">
        <v>135</v>
      </c>
      <c r="G64" s="898">
        <v>1</v>
      </c>
      <c r="H64" s="894"/>
      <c r="I64" s="846">
        <v>40330</v>
      </c>
      <c r="J64" s="846">
        <v>41395</v>
      </c>
      <c r="K64" s="1284" t="s">
        <v>1534</v>
      </c>
      <c r="L64" s="904" t="s">
        <v>516</v>
      </c>
      <c r="M64" s="1628"/>
      <c r="N64" s="900"/>
      <c r="O64" s="1631">
        <f>(M64+N64)/D64</f>
        <v>0</v>
      </c>
      <c r="P64" s="903" t="s">
        <v>167</v>
      </c>
    </row>
    <row r="65" spans="1:19" s="908" customFormat="1" ht="43.5" customHeight="1">
      <c r="A65" s="820">
        <f t="shared" si="3"/>
        <v>12</v>
      </c>
      <c r="B65" s="894" t="s">
        <v>476</v>
      </c>
      <c r="C65" s="905" t="s">
        <v>479</v>
      </c>
      <c r="D65" s="896">
        <f>933*187.5/F12</f>
        <v>97187.5</v>
      </c>
      <c r="E65" s="897" t="s">
        <v>477</v>
      </c>
      <c r="F65" s="821" t="s">
        <v>132</v>
      </c>
      <c r="G65" s="898"/>
      <c r="H65" s="898">
        <v>1</v>
      </c>
      <c r="I65" s="846">
        <v>40238</v>
      </c>
      <c r="J65" s="846">
        <v>41395</v>
      </c>
      <c r="K65" s="1284" t="s">
        <v>1535</v>
      </c>
      <c r="L65" s="906" t="s">
        <v>503</v>
      </c>
      <c r="M65" s="900"/>
      <c r="N65" s="900"/>
      <c r="O65" s="900"/>
      <c r="P65" s="907" t="s">
        <v>293</v>
      </c>
      <c r="S65" s="909"/>
    </row>
    <row r="66" spans="1:21" ht="51" customHeight="1">
      <c r="A66" s="615">
        <f t="shared" si="3"/>
        <v>13</v>
      </c>
      <c r="B66" s="691" t="s">
        <v>476</v>
      </c>
      <c r="C66" s="692" t="s">
        <v>536</v>
      </c>
      <c r="D66" s="693">
        <f>74300/F12</f>
        <v>41277.777777777774</v>
      </c>
      <c r="E66" s="690" t="s">
        <v>477</v>
      </c>
      <c r="F66" s="604" t="s">
        <v>132</v>
      </c>
      <c r="G66" s="694">
        <v>1</v>
      </c>
      <c r="H66" s="694"/>
      <c r="I66" s="649">
        <v>40330</v>
      </c>
      <c r="J66" s="649">
        <v>41395</v>
      </c>
      <c r="K66" s="1284" t="s">
        <v>1534</v>
      </c>
      <c r="L66" s="799" t="s">
        <v>518</v>
      </c>
      <c r="M66" s="796">
        <f>74300/1.8</f>
        <v>41277.777777777774</v>
      </c>
      <c r="N66" s="739"/>
      <c r="O66" s="797">
        <f>(M66+N66)/D66</f>
        <v>1</v>
      </c>
      <c r="P66" s="696" t="s">
        <v>294</v>
      </c>
      <c r="Q66" s="590"/>
      <c r="S66" s="697"/>
      <c r="U66" s="698"/>
    </row>
    <row r="67" spans="1:21" ht="56.25" customHeight="1">
      <c r="A67" s="615">
        <f t="shared" si="3"/>
        <v>14</v>
      </c>
      <c r="B67" s="691" t="s">
        <v>476</v>
      </c>
      <c r="C67" s="692" t="s">
        <v>168</v>
      </c>
      <c r="D67" s="693">
        <f>207000/F12</f>
        <v>115000</v>
      </c>
      <c r="E67" s="690" t="s">
        <v>162</v>
      </c>
      <c r="F67" s="604" t="s">
        <v>135</v>
      </c>
      <c r="G67" s="694">
        <v>1</v>
      </c>
      <c r="H67" s="694"/>
      <c r="I67" s="649">
        <v>40238</v>
      </c>
      <c r="J67" s="649">
        <v>40513</v>
      </c>
      <c r="K67" s="1284" t="s">
        <v>1534</v>
      </c>
      <c r="L67" s="739"/>
      <c r="M67" s="796">
        <f>(144000/1.6727)+(27000/1.7044)</f>
        <v>101929.71193165977</v>
      </c>
      <c r="N67" s="739"/>
      <c r="O67" s="797">
        <f>(M67+N67)/D67</f>
        <v>0.8863453211448675</v>
      </c>
      <c r="P67" s="696" t="s">
        <v>517</v>
      </c>
      <c r="U67" s="699">
        <f>S66*1.8</f>
        <v>0</v>
      </c>
    </row>
    <row r="68" spans="1:16" s="751" customFormat="1" ht="62.25" customHeight="1">
      <c r="A68" s="910">
        <f t="shared" si="3"/>
        <v>15</v>
      </c>
      <c r="B68" s="743" t="s">
        <v>476</v>
      </c>
      <c r="C68" s="744" t="s">
        <v>169</v>
      </c>
      <c r="D68" s="745">
        <f>2513101/F12</f>
        <v>1396167.2222222222</v>
      </c>
      <c r="E68" s="742" t="s">
        <v>162</v>
      </c>
      <c r="F68" s="746" t="s">
        <v>135</v>
      </c>
      <c r="G68" s="747">
        <v>1</v>
      </c>
      <c r="H68" s="747"/>
      <c r="I68" s="748">
        <v>40422</v>
      </c>
      <c r="J68" s="748">
        <v>40695</v>
      </c>
      <c r="K68" s="1284" t="s">
        <v>1535</v>
      </c>
      <c r="L68" s="749"/>
      <c r="M68" s="749"/>
      <c r="N68" s="749"/>
      <c r="O68" s="749"/>
      <c r="P68" s="750" t="s">
        <v>170</v>
      </c>
    </row>
    <row r="69" spans="1:16" s="908" customFormat="1" ht="40.5" customHeight="1">
      <c r="A69" s="820">
        <f t="shared" si="3"/>
        <v>16</v>
      </c>
      <c r="B69" s="894" t="s">
        <v>476</v>
      </c>
      <c r="C69" s="895" t="s">
        <v>480</v>
      </c>
      <c r="D69" s="896">
        <f>400*100/F12</f>
        <v>22222.222222222223</v>
      </c>
      <c r="E69" s="897" t="s">
        <v>477</v>
      </c>
      <c r="F69" s="821" t="s">
        <v>132</v>
      </c>
      <c r="G69" s="898">
        <v>1</v>
      </c>
      <c r="H69" s="898"/>
      <c r="I69" s="846">
        <v>40330</v>
      </c>
      <c r="J69" s="846">
        <v>41395</v>
      </c>
      <c r="K69" s="1284" t="s">
        <v>1535</v>
      </c>
      <c r="L69" s="900"/>
      <c r="M69" s="900"/>
      <c r="N69" s="900"/>
      <c r="O69" s="900"/>
      <c r="P69" s="907" t="s">
        <v>295</v>
      </c>
    </row>
    <row r="70" spans="1:16" s="908" customFormat="1" ht="30.75" customHeight="1">
      <c r="A70" s="820">
        <f t="shared" si="3"/>
        <v>17</v>
      </c>
      <c r="B70" s="894" t="s">
        <v>476</v>
      </c>
      <c r="C70" s="895" t="s">
        <v>481</v>
      </c>
      <c r="D70" s="896">
        <f>800*125/F12</f>
        <v>55555.555555555555</v>
      </c>
      <c r="E70" s="897" t="s">
        <v>477</v>
      </c>
      <c r="F70" s="821" t="s">
        <v>132</v>
      </c>
      <c r="G70" s="898">
        <v>1</v>
      </c>
      <c r="H70" s="898"/>
      <c r="I70" s="846">
        <v>40330</v>
      </c>
      <c r="J70" s="846">
        <v>41395</v>
      </c>
      <c r="K70" s="1284" t="s">
        <v>1535</v>
      </c>
      <c r="L70" s="900"/>
      <c r="M70" s="900"/>
      <c r="N70" s="900"/>
      <c r="O70" s="900"/>
      <c r="P70" s="907" t="s">
        <v>295</v>
      </c>
    </row>
    <row r="71" spans="1:16" ht="15" customHeight="1">
      <c r="A71" s="1619" t="s">
        <v>171</v>
      </c>
      <c r="B71" s="1620"/>
      <c r="C71" s="1621"/>
      <c r="D71" s="651">
        <f>SUM(D54:D70)</f>
        <v>2142687.4942886815</v>
      </c>
      <c r="E71" s="700"/>
      <c r="F71" s="701"/>
      <c r="G71" s="702"/>
      <c r="H71" s="702"/>
      <c r="I71" s="703"/>
      <c r="J71" s="703"/>
      <c r="K71" s="700"/>
      <c r="L71" s="740"/>
      <c r="M71" s="740"/>
      <c r="N71" s="740"/>
      <c r="O71" s="740"/>
      <c r="P71" s="704"/>
    </row>
    <row r="72" spans="1:16" ht="15" customHeight="1">
      <c r="A72" s="1619" t="s">
        <v>172</v>
      </c>
      <c r="B72" s="1620"/>
      <c r="C72" s="1621"/>
      <c r="D72" s="651">
        <f>D71+D51+D31+D27</f>
        <v>38046222.97762202</v>
      </c>
      <c r="E72" s="705"/>
      <c r="F72" s="706"/>
      <c r="G72" s="707"/>
      <c r="H72" s="707"/>
      <c r="I72" s="708"/>
      <c r="J72" s="708"/>
      <c r="K72" s="705"/>
      <c r="L72" s="741"/>
      <c r="M72" s="741"/>
      <c r="N72" s="741"/>
      <c r="O72" s="741"/>
      <c r="P72" s="709"/>
    </row>
    <row r="73" spans="1:16" ht="24.75" customHeight="1" thickBot="1">
      <c r="A73" s="1622" t="s">
        <v>173</v>
      </c>
      <c r="B73" s="1622"/>
      <c r="C73" s="1623"/>
      <c r="D73" s="710" t="s">
        <v>174</v>
      </c>
      <c r="E73" s="711"/>
      <c r="F73" s="712"/>
      <c r="G73" s="713"/>
      <c r="H73" s="713"/>
      <c r="I73" s="714"/>
      <c r="J73" s="715"/>
      <c r="K73" s="716"/>
      <c r="L73" s="716"/>
      <c r="M73" s="716"/>
      <c r="N73" s="716"/>
      <c r="O73" s="716"/>
      <c r="P73" s="717"/>
    </row>
    <row r="74" spans="1:16" ht="29.25" customHeight="1" thickBot="1">
      <c r="A74" s="718"/>
      <c r="B74" s="719"/>
      <c r="C74" s="1624" t="s">
        <v>175</v>
      </c>
      <c r="D74" s="1624"/>
      <c r="E74" s="1624"/>
      <c r="F74" s="1624"/>
      <c r="G74" s="1624"/>
      <c r="H74" s="1624"/>
      <c r="I74" s="1624"/>
      <c r="J74" s="1624"/>
      <c r="K74" s="1624"/>
      <c r="L74" s="1624"/>
      <c r="M74" s="1624"/>
      <c r="N74" s="1624"/>
      <c r="O74" s="1624"/>
      <c r="P74" s="1624"/>
    </row>
    <row r="75" spans="2:16" ht="52.5" customHeight="1">
      <c r="B75" s="720" t="s">
        <v>123</v>
      </c>
      <c r="C75" s="1625" t="s">
        <v>184</v>
      </c>
      <c r="D75" s="1625"/>
      <c r="E75" s="1625"/>
      <c r="F75" s="1625"/>
      <c r="G75" s="1625"/>
      <c r="H75" s="1625"/>
      <c r="I75" s="1625"/>
      <c r="J75" s="1625"/>
      <c r="K75" s="1625"/>
      <c r="L75" s="1625"/>
      <c r="M75" s="1625"/>
      <c r="N75" s="1625"/>
      <c r="O75" s="1625"/>
      <c r="P75" s="1625"/>
    </row>
    <row r="76" spans="2:16" ht="15.75" customHeight="1">
      <c r="B76" s="721" t="s">
        <v>124</v>
      </c>
      <c r="C76" s="1616" t="s">
        <v>185</v>
      </c>
      <c r="D76" s="1616"/>
      <c r="E76" s="1617"/>
      <c r="F76" s="1617"/>
      <c r="G76" s="722"/>
      <c r="H76" s="723"/>
      <c r="I76" s="724"/>
      <c r="J76" s="724"/>
      <c r="K76" s="722"/>
      <c r="L76" s="722"/>
      <c r="M76" s="722"/>
      <c r="N76" s="722"/>
      <c r="O76" s="722"/>
      <c r="P76" s="722"/>
    </row>
    <row r="77" spans="2:16" ht="18" customHeight="1">
      <c r="B77" s="721" t="s">
        <v>128</v>
      </c>
      <c r="C77" s="725" t="s">
        <v>186</v>
      </c>
      <c r="D77" s="722"/>
      <c r="E77" s="722"/>
      <c r="F77" s="722"/>
      <c r="G77" s="722"/>
      <c r="H77" s="722"/>
      <c r="I77" s="724"/>
      <c r="J77" s="724"/>
      <c r="K77" s="722"/>
      <c r="L77" s="722"/>
      <c r="M77" s="722"/>
      <c r="N77" s="722"/>
      <c r="O77" s="722"/>
      <c r="P77" s="722"/>
    </row>
    <row r="78" spans="2:16" ht="15.75" customHeight="1">
      <c r="B78" s="721" t="s">
        <v>176</v>
      </c>
      <c r="C78" s="726" t="s">
        <v>187</v>
      </c>
      <c r="D78" s="726"/>
      <c r="E78" s="726"/>
      <c r="F78" s="724"/>
      <c r="G78" s="724"/>
      <c r="H78" s="722"/>
      <c r="I78" s="722"/>
      <c r="J78" s="724"/>
      <c r="K78" s="722"/>
      <c r="L78" s="722"/>
      <c r="M78" s="722"/>
      <c r="N78" s="722"/>
      <c r="O78" s="722"/>
      <c r="P78" s="722"/>
    </row>
    <row r="79" spans="2:16" ht="15.75" customHeight="1">
      <c r="B79" s="721" t="s">
        <v>177</v>
      </c>
      <c r="C79" s="726" t="s">
        <v>188</v>
      </c>
      <c r="D79" s="726"/>
      <c r="E79" s="726"/>
      <c r="F79" s="724"/>
      <c r="G79" s="724"/>
      <c r="H79" s="722"/>
      <c r="I79" s="722"/>
      <c r="J79" s="724"/>
      <c r="K79" s="722"/>
      <c r="L79" s="722"/>
      <c r="M79" s="722"/>
      <c r="N79" s="722"/>
      <c r="O79" s="722"/>
      <c r="P79" s="722"/>
    </row>
    <row r="80" spans="2:16" ht="15.75" customHeight="1">
      <c r="B80" s="721" t="s">
        <v>178</v>
      </c>
      <c r="C80" s="726" t="s">
        <v>189</v>
      </c>
      <c r="D80" s="726"/>
      <c r="E80" s="727"/>
      <c r="F80" s="727"/>
      <c r="G80" s="722"/>
      <c r="H80" s="722"/>
      <c r="I80" s="724"/>
      <c r="J80" s="724"/>
      <c r="K80" s="722"/>
      <c r="L80" s="722"/>
      <c r="M80" s="722"/>
      <c r="N80" s="722"/>
      <c r="O80" s="722"/>
      <c r="P80" s="722"/>
    </row>
    <row r="81" spans="2:8" ht="15.75" customHeight="1">
      <c r="B81" s="728" t="s">
        <v>179</v>
      </c>
      <c r="C81" s="729" t="s">
        <v>190</v>
      </c>
      <c r="D81" s="730"/>
      <c r="E81" s="730"/>
      <c r="F81" s="730"/>
      <c r="G81" s="730"/>
      <c r="H81" s="730"/>
    </row>
    <row r="82" spans="2:8" ht="15.75" customHeight="1">
      <c r="B82" s="728" t="s">
        <v>180</v>
      </c>
      <c r="C82" s="729" t="s">
        <v>191</v>
      </c>
      <c r="D82" s="730"/>
      <c r="E82" s="730"/>
      <c r="F82" s="730"/>
      <c r="G82" s="730"/>
      <c r="H82" s="730"/>
    </row>
    <row r="85" spans="4:9" ht="15" customHeight="1">
      <c r="D85" s="731"/>
      <c r="I85" s="699"/>
    </row>
    <row r="86" spans="3:5" ht="15" customHeight="1">
      <c r="C86" s="590"/>
      <c r="D86" s="732"/>
      <c r="E86" s="666"/>
    </row>
    <row r="88" spans="9:15" ht="15" customHeight="1">
      <c r="I88" s="732"/>
      <c r="J88" s="732"/>
      <c r="K88" s="732"/>
      <c r="L88" s="732"/>
      <c r="M88" s="732"/>
      <c r="N88" s="732"/>
      <c r="O88" s="732"/>
    </row>
    <row r="89" spans="5:6" ht="15" customHeight="1">
      <c r="E89" s="733"/>
      <c r="F89" s="590"/>
    </row>
    <row r="90" ht="15" customHeight="1">
      <c r="I90" s="732"/>
    </row>
    <row r="91" spans="5:15" ht="15" customHeight="1">
      <c r="E91" s="734"/>
      <c r="K91" s="734"/>
      <c r="L91" s="734"/>
      <c r="M91" s="734"/>
      <c r="N91" s="734"/>
      <c r="O91" s="734"/>
    </row>
    <row r="92" spans="11:15" ht="15" customHeight="1">
      <c r="K92" s="734"/>
      <c r="L92" s="734"/>
      <c r="M92" s="734"/>
      <c r="N92" s="734"/>
      <c r="O92" s="734"/>
    </row>
  </sheetData>
  <sheetProtection/>
  <mergeCells count="35">
    <mergeCell ref="M13:M15"/>
    <mergeCell ref="N13:N15"/>
    <mergeCell ref="L18:L19"/>
    <mergeCell ref="P17:P19"/>
    <mergeCell ref="I13:J13"/>
    <mergeCell ref="K13:K14"/>
    <mergeCell ref="C76:F76"/>
    <mergeCell ref="B53:P53"/>
    <mergeCell ref="A71:C71"/>
    <mergeCell ref="A73:C73"/>
    <mergeCell ref="C74:P74"/>
    <mergeCell ref="C75:P75"/>
    <mergeCell ref="A72:C72"/>
    <mergeCell ref="M61:M64"/>
    <mergeCell ref="O61:O64"/>
    <mergeCell ref="B2:P2"/>
    <mergeCell ref="B3:P3"/>
    <mergeCell ref="B4:P4"/>
    <mergeCell ref="B6:P6"/>
    <mergeCell ref="P13:P15"/>
    <mergeCell ref="B16:P16"/>
    <mergeCell ref="B13:B15"/>
    <mergeCell ref="F13:F14"/>
    <mergeCell ref="O13:O15"/>
    <mergeCell ref="G13:H13"/>
    <mergeCell ref="A27:C27"/>
    <mergeCell ref="A31:C31"/>
    <mergeCell ref="B29:P29"/>
    <mergeCell ref="A51:C51"/>
    <mergeCell ref="A13:A15"/>
    <mergeCell ref="C13:C15"/>
    <mergeCell ref="L13:L15"/>
    <mergeCell ref="B34:P34"/>
    <mergeCell ref="M17:M19"/>
    <mergeCell ref="O17:O19"/>
  </mergeCells>
  <conditionalFormatting sqref="L64">
    <cfRule type="cellIs" priority="109" dxfId="6" operator="equal" stopIfTrue="1">
      <formula>"Sim"</formula>
    </cfRule>
  </conditionalFormatting>
  <conditionalFormatting sqref="K17:K20">
    <cfRule type="cellIs" priority="108" dxfId="6" operator="equal" stopIfTrue="1">
      <formula>"Sim"</formula>
    </cfRule>
  </conditionalFormatting>
  <conditionalFormatting sqref="K17:K20">
    <cfRule type="cellIs" priority="107" dxfId="6" operator="equal" stopIfTrue="1">
      <formula>"Satisfatório"</formula>
    </cfRule>
  </conditionalFormatting>
  <conditionalFormatting sqref="K17:K20">
    <cfRule type="cellIs" priority="106" dxfId="6" operator="equal" stopIfTrue="1">
      <formula>"Sim"</formula>
    </cfRule>
  </conditionalFormatting>
  <conditionalFormatting sqref="K17:K20">
    <cfRule type="cellIs" priority="105" dxfId="6" operator="equal" stopIfTrue="1">
      <formula>"Sim"</formula>
    </cfRule>
  </conditionalFormatting>
  <conditionalFormatting sqref="K17:K20">
    <cfRule type="cellIs" priority="104" dxfId="6" operator="equal" stopIfTrue="1">
      <formula>"Satisfatório"</formula>
    </cfRule>
  </conditionalFormatting>
  <conditionalFormatting sqref="K17:K20">
    <cfRule type="cellIs" priority="97" dxfId="0" operator="equal" stopIfTrue="1">
      <formula>"Adiada"</formula>
    </cfRule>
    <cfRule type="cellIs" priority="98" dxfId="0" operator="equal" stopIfTrue="1">
      <formula>"Suspensa"</formula>
    </cfRule>
    <cfRule type="cellIs" priority="99" dxfId="2" operator="equal" stopIfTrue="1">
      <formula>"Cancelada"</formula>
    </cfRule>
    <cfRule type="cellIs" priority="100" dxfId="2" operator="equal" stopIfTrue="1">
      <formula>"Sub-Judice"</formula>
    </cfRule>
    <cfRule type="cellIs" priority="101" dxfId="7" operator="equal" stopIfTrue="1">
      <formula>"Em processamento"</formula>
    </cfRule>
    <cfRule type="cellIs" priority="102" dxfId="166" operator="equal" stopIfTrue="1">
      <formula>"Em execução"</formula>
    </cfRule>
    <cfRule type="cellIs" priority="103" dxfId="7" operator="equal" stopIfTrue="1">
      <formula>"Contratada"</formula>
    </cfRule>
  </conditionalFormatting>
  <conditionalFormatting sqref="K21:K26">
    <cfRule type="cellIs" priority="96" dxfId="6" operator="equal" stopIfTrue="1">
      <formula>"Sim"</formula>
    </cfRule>
  </conditionalFormatting>
  <conditionalFormatting sqref="K21:K26">
    <cfRule type="cellIs" priority="95" dxfId="6" operator="equal" stopIfTrue="1">
      <formula>"Satisfatório"</formula>
    </cfRule>
  </conditionalFormatting>
  <conditionalFormatting sqref="K21:K26">
    <cfRule type="cellIs" priority="94" dxfId="6" operator="equal" stopIfTrue="1">
      <formula>"Sim"</formula>
    </cfRule>
  </conditionalFormatting>
  <conditionalFormatting sqref="K21:K26">
    <cfRule type="cellIs" priority="93" dxfId="6" operator="equal" stopIfTrue="1">
      <formula>"Sim"</formula>
    </cfRule>
  </conditionalFormatting>
  <conditionalFormatting sqref="K21:K26">
    <cfRule type="cellIs" priority="92" dxfId="6" operator="equal" stopIfTrue="1">
      <formula>"Satisfatório"</formula>
    </cfRule>
  </conditionalFormatting>
  <conditionalFormatting sqref="K21:K26">
    <cfRule type="cellIs" priority="85" dxfId="0" operator="equal" stopIfTrue="1">
      <formula>"Adiada"</formula>
    </cfRule>
    <cfRule type="cellIs" priority="86" dxfId="0" operator="equal" stopIfTrue="1">
      <formula>"Suspensa"</formula>
    </cfRule>
    <cfRule type="cellIs" priority="87" dxfId="2" operator="equal" stopIfTrue="1">
      <formula>"Cancelada"</formula>
    </cfRule>
    <cfRule type="cellIs" priority="88" dxfId="2" operator="equal" stopIfTrue="1">
      <formula>"Sub-Judice"</formula>
    </cfRule>
    <cfRule type="cellIs" priority="89" dxfId="7" operator="equal" stopIfTrue="1">
      <formula>"Em processamento"</formula>
    </cfRule>
    <cfRule type="cellIs" priority="90" dxfId="166" operator="equal" stopIfTrue="1">
      <formula>"Em execução"</formula>
    </cfRule>
    <cfRule type="cellIs" priority="91" dxfId="7" operator="equal" stopIfTrue="1">
      <formula>"Contratada"</formula>
    </cfRule>
  </conditionalFormatting>
  <conditionalFormatting sqref="K30">
    <cfRule type="cellIs" priority="84" dxfId="6" operator="equal" stopIfTrue="1">
      <formula>"Sim"</formula>
    </cfRule>
  </conditionalFormatting>
  <conditionalFormatting sqref="K30">
    <cfRule type="cellIs" priority="83" dxfId="6" operator="equal" stopIfTrue="1">
      <formula>"Satisfatório"</formula>
    </cfRule>
  </conditionalFormatting>
  <conditionalFormatting sqref="K30">
    <cfRule type="cellIs" priority="82" dxfId="6" operator="equal" stopIfTrue="1">
      <formula>"Sim"</formula>
    </cfRule>
  </conditionalFormatting>
  <conditionalFormatting sqref="K30">
    <cfRule type="cellIs" priority="81" dxfId="6" operator="equal" stopIfTrue="1">
      <formula>"Sim"</formula>
    </cfRule>
  </conditionalFormatting>
  <conditionalFormatting sqref="K30">
    <cfRule type="cellIs" priority="80" dxfId="6" operator="equal" stopIfTrue="1">
      <formula>"Satisfatório"</formula>
    </cfRule>
  </conditionalFormatting>
  <conditionalFormatting sqref="K30">
    <cfRule type="cellIs" priority="73" dxfId="0" operator="equal" stopIfTrue="1">
      <formula>"Adiada"</formula>
    </cfRule>
    <cfRule type="cellIs" priority="74" dxfId="0" operator="equal" stopIfTrue="1">
      <formula>"Suspensa"</formula>
    </cfRule>
    <cfRule type="cellIs" priority="75" dxfId="2" operator="equal" stopIfTrue="1">
      <formula>"Cancelada"</formula>
    </cfRule>
    <cfRule type="cellIs" priority="76" dxfId="2" operator="equal" stopIfTrue="1">
      <formula>"Sub-Judice"</formula>
    </cfRule>
    <cfRule type="cellIs" priority="77" dxfId="7" operator="equal" stopIfTrue="1">
      <formula>"Em processamento"</formula>
    </cfRule>
    <cfRule type="cellIs" priority="78" dxfId="166" operator="equal" stopIfTrue="1">
      <formula>"Em execução"</formula>
    </cfRule>
    <cfRule type="cellIs" priority="79" dxfId="7" operator="equal" stopIfTrue="1">
      <formula>"Contratada"</formula>
    </cfRule>
  </conditionalFormatting>
  <conditionalFormatting sqref="K35:K36">
    <cfRule type="cellIs" priority="72" dxfId="6" operator="equal" stopIfTrue="1">
      <formula>"Sim"</formula>
    </cfRule>
  </conditionalFormatting>
  <conditionalFormatting sqref="K35:K36">
    <cfRule type="cellIs" priority="71" dxfId="6" operator="equal" stopIfTrue="1">
      <formula>"Satisfatório"</formula>
    </cfRule>
  </conditionalFormatting>
  <conditionalFormatting sqref="K35:K36">
    <cfRule type="cellIs" priority="70" dxfId="6" operator="equal" stopIfTrue="1">
      <formula>"Sim"</formula>
    </cfRule>
  </conditionalFormatting>
  <conditionalFormatting sqref="K35:K36">
    <cfRule type="cellIs" priority="69" dxfId="6" operator="equal" stopIfTrue="1">
      <formula>"Sim"</formula>
    </cfRule>
  </conditionalFormatting>
  <conditionalFormatting sqref="K35:K36">
    <cfRule type="cellIs" priority="68" dxfId="6" operator="equal" stopIfTrue="1">
      <formula>"Satisfatório"</formula>
    </cfRule>
  </conditionalFormatting>
  <conditionalFormatting sqref="K35:K36">
    <cfRule type="cellIs" priority="61" dxfId="0" operator="equal" stopIfTrue="1">
      <formula>"Adiada"</formula>
    </cfRule>
    <cfRule type="cellIs" priority="62" dxfId="0" operator="equal" stopIfTrue="1">
      <formula>"Suspensa"</formula>
    </cfRule>
    <cfRule type="cellIs" priority="63" dxfId="2" operator="equal" stopIfTrue="1">
      <formula>"Cancelada"</formula>
    </cfRule>
    <cfRule type="cellIs" priority="64" dxfId="2" operator="equal" stopIfTrue="1">
      <formula>"Sub-Judice"</formula>
    </cfRule>
    <cfRule type="cellIs" priority="65" dxfId="7" operator="equal" stopIfTrue="1">
      <formula>"Em processamento"</formula>
    </cfRule>
    <cfRule type="cellIs" priority="66" dxfId="166" operator="equal" stopIfTrue="1">
      <formula>"Em execução"</formula>
    </cfRule>
    <cfRule type="cellIs" priority="67" dxfId="7" operator="equal" stopIfTrue="1">
      <formula>"Contratada"</formula>
    </cfRule>
  </conditionalFormatting>
  <conditionalFormatting sqref="K37">
    <cfRule type="cellIs" priority="60" dxfId="6" operator="equal" stopIfTrue="1">
      <formula>"Sim"</formula>
    </cfRule>
  </conditionalFormatting>
  <conditionalFormatting sqref="K37">
    <cfRule type="cellIs" priority="59" dxfId="6" operator="equal" stopIfTrue="1">
      <formula>"Satisfatório"</formula>
    </cfRule>
  </conditionalFormatting>
  <conditionalFormatting sqref="K37">
    <cfRule type="cellIs" priority="58" dxfId="6" operator="equal" stopIfTrue="1">
      <formula>"Sim"</formula>
    </cfRule>
  </conditionalFormatting>
  <conditionalFormatting sqref="K37">
    <cfRule type="cellIs" priority="57" dxfId="6" operator="equal" stopIfTrue="1">
      <formula>"Sim"</formula>
    </cfRule>
  </conditionalFormatting>
  <conditionalFormatting sqref="K37">
    <cfRule type="cellIs" priority="56" dxfId="6" operator="equal" stopIfTrue="1">
      <formula>"Satisfatório"</formula>
    </cfRule>
  </conditionalFormatting>
  <conditionalFormatting sqref="K37">
    <cfRule type="cellIs" priority="49" dxfId="0" operator="equal" stopIfTrue="1">
      <formula>"Adiada"</formula>
    </cfRule>
    <cfRule type="cellIs" priority="50" dxfId="0" operator="equal" stopIfTrue="1">
      <formula>"Suspensa"</formula>
    </cfRule>
    <cfRule type="cellIs" priority="51" dxfId="2" operator="equal" stopIfTrue="1">
      <formula>"Cancelada"</formula>
    </cfRule>
    <cfRule type="cellIs" priority="52" dxfId="2" operator="equal" stopIfTrue="1">
      <formula>"Sub-Judice"</formula>
    </cfRule>
    <cfRule type="cellIs" priority="53" dxfId="7" operator="equal" stopIfTrue="1">
      <formula>"Em processamento"</formula>
    </cfRule>
    <cfRule type="cellIs" priority="54" dxfId="166" operator="equal" stopIfTrue="1">
      <formula>"Em execução"</formula>
    </cfRule>
    <cfRule type="cellIs" priority="55" dxfId="7" operator="equal" stopIfTrue="1">
      <formula>"Contratada"</formula>
    </cfRule>
  </conditionalFormatting>
  <conditionalFormatting sqref="K38:K42">
    <cfRule type="cellIs" priority="48" dxfId="6" operator="equal" stopIfTrue="1">
      <formula>"Sim"</formula>
    </cfRule>
  </conditionalFormatting>
  <conditionalFormatting sqref="K38:K42">
    <cfRule type="cellIs" priority="47" dxfId="6" operator="equal" stopIfTrue="1">
      <formula>"Satisfatório"</formula>
    </cfRule>
  </conditionalFormatting>
  <conditionalFormatting sqref="K38:K42">
    <cfRule type="cellIs" priority="46" dxfId="6" operator="equal" stopIfTrue="1">
      <formula>"Sim"</formula>
    </cfRule>
  </conditionalFormatting>
  <conditionalFormatting sqref="K38:K42">
    <cfRule type="cellIs" priority="45" dxfId="6" operator="equal" stopIfTrue="1">
      <formula>"Sim"</formula>
    </cfRule>
  </conditionalFormatting>
  <conditionalFormatting sqref="K38:K42">
    <cfRule type="cellIs" priority="44" dxfId="6" operator="equal" stopIfTrue="1">
      <formula>"Satisfatório"</formula>
    </cfRule>
  </conditionalFormatting>
  <conditionalFormatting sqref="K38:K42">
    <cfRule type="cellIs" priority="37" dxfId="0" operator="equal" stopIfTrue="1">
      <formula>"Adiada"</formula>
    </cfRule>
    <cfRule type="cellIs" priority="38" dxfId="0" operator="equal" stopIfTrue="1">
      <formula>"Suspensa"</formula>
    </cfRule>
    <cfRule type="cellIs" priority="39" dxfId="2" operator="equal" stopIfTrue="1">
      <formula>"Cancelada"</formula>
    </cfRule>
    <cfRule type="cellIs" priority="40" dxfId="2" operator="equal" stopIfTrue="1">
      <formula>"Sub-Judice"</formula>
    </cfRule>
    <cfRule type="cellIs" priority="41" dxfId="7" operator="equal" stopIfTrue="1">
      <formula>"Em processamento"</formula>
    </cfRule>
    <cfRule type="cellIs" priority="42" dxfId="166" operator="equal" stopIfTrue="1">
      <formula>"Em execução"</formula>
    </cfRule>
    <cfRule type="cellIs" priority="43" dxfId="7" operator="equal" stopIfTrue="1">
      <formula>"Contratada"</formula>
    </cfRule>
  </conditionalFormatting>
  <conditionalFormatting sqref="K43:K50">
    <cfRule type="cellIs" priority="36" dxfId="6" operator="equal" stopIfTrue="1">
      <formula>"Sim"</formula>
    </cfRule>
  </conditionalFormatting>
  <conditionalFormatting sqref="K43:K50">
    <cfRule type="cellIs" priority="35" dxfId="6" operator="equal" stopIfTrue="1">
      <formula>"Satisfatório"</formula>
    </cfRule>
  </conditionalFormatting>
  <conditionalFormatting sqref="K43:K50">
    <cfRule type="cellIs" priority="34" dxfId="6" operator="equal" stopIfTrue="1">
      <formula>"Sim"</formula>
    </cfRule>
  </conditionalFormatting>
  <conditionalFormatting sqref="K43:K50">
    <cfRule type="cellIs" priority="33" dxfId="6" operator="equal" stopIfTrue="1">
      <formula>"Sim"</formula>
    </cfRule>
  </conditionalFormatting>
  <conditionalFormatting sqref="K43:K50">
    <cfRule type="cellIs" priority="32" dxfId="6" operator="equal" stopIfTrue="1">
      <formula>"Satisfatório"</formula>
    </cfRule>
  </conditionalFormatting>
  <conditionalFormatting sqref="K43:K50">
    <cfRule type="cellIs" priority="25" dxfId="0" operator="equal" stopIfTrue="1">
      <formula>"Adiada"</formula>
    </cfRule>
    <cfRule type="cellIs" priority="26" dxfId="0" operator="equal" stopIfTrue="1">
      <formula>"Suspensa"</formula>
    </cfRule>
    <cfRule type="cellIs" priority="27" dxfId="2" operator="equal" stopIfTrue="1">
      <formula>"Cancelada"</formula>
    </cfRule>
    <cfRule type="cellIs" priority="28" dxfId="2" operator="equal" stopIfTrue="1">
      <formula>"Sub-Judice"</formula>
    </cfRule>
    <cfRule type="cellIs" priority="29" dxfId="7" operator="equal" stopIfTrue="1">
      <formula>"Em processamento"</formula>
    </cfRule>
    <cfRule type="cellIs" priority="30" dxfId="166" operator="equal" stopIfTrue="1">
      <formula>"Em execução"</formula>
    </cfRule>
    <cfRule type="cellIs" priority="31" dxfId="7" operator="equal" stopIfTrue="1">
      <formula>"Contratada"</formula>
    </cfRule>
  </conditionalFormatting>
  <conditionalFormatting sqref="K54:K58">
    <cfRule type="cellIs" priority="24" dxfId="6" operator="equal" stopIfTrue="1">
      <formula>"Sim"</formula>
    </cfRule>
  </conditionalFormatting>
  <conditionalFormatting sqref="K54:K58">
    <cfRule type="cellIs" priority="23" dxfId="6" operator="equal" stopIfTrue="1">
      <formula>"Satisfatório"</formula>
    </cfRule>
  </conditionalFormatting>
  <conditionalFormatting sqref="K54:K58">
    <cfRule type="cellIs" priority="22" dxfId="6" operator="equal" stopIfTrue="1">
      <formula>"Sim"</formula>
    </cfRule>
  </conditionalFormatting>
  <conditionalFormatting sqref="K54:K58">
    <cfRule type="cellIs" priority="21" dxfId="6" operator="equal" stopIfTrue="1">
      <formula>"Sim"</formula>
    </cfRule>
  </conditionalFormatting>
  <conditionalFormatting sqref="K54:K58">
    <cfRule type="cellIs" priority="20" dxfId="6" operator="equal" stopIfTrue="1">
      <formula>"Satisfatório"</formula>
    </cfRule>
  </conditionalFormatting>
  <conditionalFormatting sqref="K54:K58">
    <cfRule type="cellIs" priority="13" dxfId="0" operator="equal" stopIfTrue="1">
      <formula>"Adiada"</formula>
    </cfRule>
    <cfRule type="cellIs" priority="14" dxfId="0" operator="equal" stopIfTrue="1">
      <formula>"Suspensa"</formula>
    </cfRule>
    <cfRule type="cellIs" priority="15" dxfId="2" operator="equal" stopIfTrue="1">
      <formula>"Cancelada"</formula>
    </cfRule>
    <cfRule type="cellIs" priority="16" dxfId="2" operator="equal" stopIfTrue="1">
      <formula>"Sub-Judice"</formula>
    </cfRule>
    <cfRule type="cellIs" priority="17" dxfId="7" operator="equal" stopIfTrue="1">
      <formula>"Em processamento"</formula>
    </cfRule>
    <cfRule type="cellIs" priority="18" dxfId="166" operator="equal" stopIfTrue="1">
      <formula>"Em execução"</formula>
    </cfRule>
    <cfRule type="cellIs" priority="19" dxfId="7" operator="equal" stopIfTrue="1">
      <formula>"Contratada"</formula>
    </cfRule>
  </conditionalFormatting>
  <conditionalFormatting sqref="K59:K70">
    <cfRule type="cellIs" priority="12" dxfId="6" operator="equal" stopIfTrue="1">
      <formula>"Sim"</formula>
    </cfRule>
  </conditionalFormatting>
  <conditionalFormatting sqref="K59:K70">
    <cfRule type="cellIs" priority="11" dxfId="6" operator="equal" stopIfTrue="1">
      <formula>"Satisfatório"</formula>
    </cfRule>
  </conditionalFormatting>
  <conditionalFormatting sqref="K59:K70">
    <cfRule type="cellIs" priority="10" dxfId="6" operator="equal" stopIfTrue="1">
      <formula>"Sim"</formula>
    </cfRule>
  </conditionalFormatting>
  <conditionalFormatting sqref="K59:K70">
    <cfRule type="cellIs" priority="9" dxfId="6" operator="equal" stopIfTrue="1">
      <formula>"Sim"</formula>
    </cfRule>
  </conditionalFormatting>
  <conditionalFormatting sqref="K59:K70">
    <cfRule type="cellIs" priority="8" dxfId="6" operator="equal" stopIfTrue="1">
      <formula>"Satisfatório"</formula>
    </cfRule>
  </conditionalFormatting>
  <conditionalFormatting sqref="K59:K70">
    <cfRule type="cellIs" priority="1" dxfId="0" operator="equal" stopIfTrue="1">
      <formula>"Adiada"</formula>
    </cfRule>
    <cfRule type="cellIs" priority="2" dxfId="0" operator="equal" stopIfTrue="1">
      <formula>"Suspensa"</formula>
    </cfRule>
    <cfRule type="cellIs" priority="3" dxfId="2" operator="equal" stopIfTrue="1">
      <formula>"Cancelada"</formula>
    </cfRule>
    <cfRule type="cellIs" priority="4" dxfId="2" operator="equal" stopIfTrue="1">
      <formula>"Sub-Judice"</formula>
    </cfRule>
    <cfRule type="cellIs" priority="5" dxfId="7" operator="equal" stopIfTrue="1">
      <formula>"Em processamento"</formula>
    </cfRule>
    <cfRule type="cellIs" priority="6" dxfId="166" operator="equal" stopIfTrue="1">
      <formula>"Em execução"</formula>
    </cfRule>
    <cfRule type="cellIs" priority="7" dxfId="7" operator="equal" stopIfTrue="1">
      <formula>"Contratada"</formula>
    </cfRule>
  </conditionalFormatting>
  <dataValidations count="9">
    <dataValidation type="list" allowBlank="1" showInputMessage="1" showErrorMessage="1" sqref="E20:E26 E30 E46">
      <formula1>"BID LPI,BID LPN,BID CP,BID CD,BID SBQC,BID SQS,BID SD,8666 CV,8666 TP,8666 C"</formula1>
    </dataValidation>
    <dataValidation type="list" allowBlank="1" showInputMessage="1" showErrorMessage="1" sqref="E36:E37">
      <formula1>"ARP,BID LPI, BID LIL, BID LPN,BID CP,BID CD,BID SBQC,BID SQS,BID SD,8666 CV,8666 TP,8666 C"</formula1>
    </dataValidation>
    <dataValidation type="list" allowBlank="1" showInputMessage="1" showErrorMessage="1" sqref="E45">
      <formula1>"ARP,$E$39BID LPI,BID RP, BID LPN,BID CP,BID CD,BID SBQC,BID SQS,BID SD,8666 CV,8666 TP,8666 C"</formula1>
    </dataValidation>
    <dataValidation type="list" allowBlank="1" showInputMessage="1" showErrorMessage="1" sqref="F54:F70 F30 F17:F26 F35:F50">
      <formula1>"EXA, EXP"</formula1>
    </dataValidation>
    <dataValidation type="list" allowBlank="1" showInputMessage="1" showErrorMessage="1" sqref="E17:E19">
      <formula1>"BID LPI,BID LPN,BID CP,BID CD,BID SBQC,BID SQS,BID SD,8666 CV, TP,PE"</formula1>
    </dataValidation>
    <dataValidation type="list" allowBlank="1" showInputMessage="1" showErrorMessage="1" sqref="E35">
      <formula1>"BID LPI, LIL, BID LPN,BID CP,BID CD,BID SBQC,BID SQS,BID SD,8666 CV,8666 TP,8666 C"</formula1>
    </dataValidation>
    <dataValidation type="list" allowBlank="1" showInputMessage="1" showErrorMessage="1" sqref="E49:E50 E38 E40:E41">
      <formula1>"BID LPI,BID LPN,BID CP,BID CD,BID SBQC,BID SQS,BID SD,8666 CV, PE"</formula1>
    </dataValidation>
    <dataValidation type="list" allowBlank="1" showInputMessage="1" showErrorMessage="1" sqref="E39 E42:E44 E47:E48">
      <formula1>"BID LPI,BID LPN,BID CP,BID CD,BID CI,BID SBQC,BID SQS,BID SD,8666 CV,8666 TP,8666 C"</formula1>
    </dataValidation>
    <dataValidation type="list" allowBlank="1" showInputMessage="1" showErrorMessage="1" sqref="K17:K26 K30 K35:K50 K54:K70">
      <formula1>"Contratada, Em execução, Em processamento, Adiada, Suspensa, Cancelada, Sub-Judice, "</formula1>
    </dataValidation>
  </dataValidations>
  <printOptions/>
  <pageMargins left="0.7" right="0.7" top="0.25069444444444444" bottom="0.25" header="0.3" footer="0.5118055555555555"/>
  <pageSetup horizontalDpi="300" verticalDpi="300" orientation="landscape" paperSize="9" scale="65" r:id="rId4"/>
  <headerFooter alignWithMargins="0">
    <oddHeader>&amp;R&amp;"Calibri,Negrito"&amp;8Página &amp;P</oddHeader>
  </headerFooter>
  <rowBreaks count="1" manualBreakCount="1">
    <brk id="52" max="255" man="1"/>
  </rowBreaks>
  <drawing r:id="rId3"/>
  <legacyDrawing r:id="rId2"/>
</worksheet>
</file>

<file path=xl/worksheets/sheet16.xml><?xml version="1.0" encoding="utf-8"?>
<worksheet xmlns="http://schemas.openxmlformats.org/spreadsheetml/2006/main" xmlns:r="http://schemas.openxmlformats.org/officeDocument/2006/relationships">
  <dimension ref="A1:BX32"/>
  <sheetViews>
    <sheetView showGridLines="0" zoomScale="81" zoomScaleNormal="81" zoomScalePageLayoutView="0" workbookViewId="0" topLeftCell="A10">
      <selection activeCell="A5" sqref="A5"/>
    </sheetView>
  </sheetViews>
  <sheetFormatPr defaultColWidth="9.140625" defaultRowHeight="12.75"/>
  <cols>
    <col min="1" max="1" width="43.140625" style="19" customWidth="1"/>
    <col min="2" max="2" width="56.28125" style="19" customWidth="1"/>
    <col min="3" max="3" width="13.140625" style="19" hidden="1" customWidth="1"/>
    <col min="4" max="4" width="17.421875" style="19" customWidth="1"/>
    <col min="5" max="5" width="14.421875" style="19" customWidth="1"/>
    <col min="6" max="6" width="16.57421875" style="19" customWidth="1"/>
    <col min="7" max="7" width="17.57421875" style="19" customWidth="1"/>
    <col min="8" max="16384" width="9.140625" style="19" customWidth="1"/>
  </cols>
  <sheetData>
    <row r="1" spans="1:76" s="49" customFormat="1" ht="31.5" customHeight="1" thickBot="1">
      <c r="A1" s="123"/>
      <c r="B1" s="124"/>
      <c r="C1" s="124"/>
      <c r="D1" s="124"/>
      <c r="E1" s="125"/>
      <c r="F1" s="124"/>
      <c r="G1" s="128"/>
      <c r="H1" s="44"/>
      <c r="I1" s="44"/>
      <c r="J1" s="44"/>
      <c r="K1" s="44"/>
      <c r="L1" s="44"/>
      <c r="M1" s="44"/>
      <c r="N1" s="45"/>
      <c r="O1" s="47"/>
      <c r="P1" s="47"/>
      <c r="Q1" s="44"/>
      <c r="R1" s="44"/>
      <c r="S1" s="44"/>
      <c r="T1" s="45"/>
      <c r="U1" s="45"/>
      <c r="V1" s="46"/>
      <c r="W1" s="47"/>
      <c r="X1" s="47"/>
      <c r="Y1" s="47"/>
      <c r="Z1" s="44"/>
      <c r="AA1" s="44"/>
      <c r="AB1" s="44"/>
      <c r="AC1" s="44"/>
      <c r="AD1" s="44"/>
      <c r="AE1" s="44"/>
      <c r="AF1" s="44"/>
      <c r="AG1" s="45"/>
      <c r="AH1" s="45"/>
      <c r="AI1" s="46"/>
      <c r="AJ1" s="47"/>
      <c r="AK1" s="47"/>
      <c r="AL1" s="47"/>
      <c r="AM1" s="44"/>
      <c r="AN1" s="44"/>
      <c r="AO1" s="44"/>
      <c r="AP1" s="44"/>
      <c r="AQ1" s="44"/>
      <c r="AR1" s="44"/>
      <c r="AS1" s="44"/>
      <c r="AT1" s="45"/>
      <c r="AU1" s="45"/>
      <c r="AV1" s="46"/>
      <c r="AW1" s="47"/>
      <c r="AX1" s="47"/>
      <c r="AY1" s="47"/>
      <c r="AZ1" s="44"/>
      <c r="BA1" s="44"/>
      <c r="BB1" s="44"/>
      <c r="BC1" s="44"/>
      <c r="BD1" s="44"/>
      <c r="BE1" s="44"/>
      <c r="BF1" s="44"/>
      <c r="BG1" s="48"/>
      <c r="BH1" s="48"/>
      <c r="BI1" s="48"/>
      <c r="BJ1" s="48"/>
      <c r="BK1" s="48"/>
      <c r="BL1" s="48"/>
      <c r="BM1" s="48"/>
      <c r="BN1" s="48"/>
      <c r="BO1" s="48"/>
      <c r="BP1" s="48"/>
      <c r="BQ1" s="48"/>
      <c r="BR1" s="48"/>
      <c r="BS1" s="48"/>
      <c r="BT1" s="48"/>
      <c r="BU1" s="48"/>
      <c r="BV1" s="48"/>
      <c r="BW1" s="48"/>
      <c r="BX1" s="48"/>
    </row>
    <row r="2" spans="1:7" s="9" customFormat="1" ht="16.5" thickBot="1">
      <c r="A2" s="1545">
        <v>0</v>
      </c>
      <c r="B2" s="1547"/>
      <c r="C2" s="1547"/>
      <c r="D2" s="1547"/>
      <c r="E2" s="1547"/>
      <c r="F2" s="1547"/>
      <c r="G2" s="1643"/>
    </row>
    <row r="3" spans="1:7" s="9" customFormat="1" ht="15.75">
      <c r="A3" s="1640" t="s">
        <v>226</v>
      </c>
      <c r="B3" s="1641"/>
      <c r="C3" s="1641"/>
      <c r="D3" s="1641"/>
      <c r="E3" s="1641"/>
      <c r="F3" s="1641"/>
      <c r="G3" s="1642"/>
    </row>
    <row r="4" spans="1:7" s="10" customFormat="1" ht="45">
      <c r="A4" s="139" t="s">
        <v>59</v>
      </c>
      <c r="B4" s="150" t="s">
        <v>60</v>
      </c>
      <c r="C4" s="196"/>
      <c r="D4" s="150" t="s">
        <v>61</v>
      </c>
      <c r="E4" s="150" t="s">
        <v>65</v>
      </c>
      <c r="F4" s="150" t="s">
        <v>63</v>
      </c>
      <c r="G4" s="151" t="s">
        <v>64</v>
      </c>
    </row>
    <row r="5" spans="1:7" ht="75">
      <c r="A5" s="1150" t="s">
        <v>1495</v>
      </c>
      <c r="B5" s="922" t="s">
        <v>1496</v>
      </c>
      <c r="C5" s="28" t="e">
        <f>AND(OR(ISBLANK(A5),A5=" ",A5="  "),#REF!="Sim")</f>
        <v>#REF!</v>
      </c>
      <c r="D5" s="132"/>
      <c r="E5" s="132"/>
      <c r="F5" s="197"/>
      <c r="G5" s="194"/>
    </row>
    <row r="6" spans="1:7" ht="15">
      <c r="A6" s="131"/>
      <c r="B6" s="132"/>
      <c r="C6" s="28" t="e">
        <f>AND(OR(ISBLANK(A6),A6=" ",A6="  "),#REF!="Sim")</f>
        <v>#REF!</v>
      </c>
      <c r="D6" s="132"/>
      <c r="E6" s="132"/>
      <c r="F6" s="197"/>
      <c r="G6" s="194"/>
    </row>
    <row r="7" spans="1:7" ht="15">
      <c r="A7" s="131"/>
      <c r="B7" s="132"/>
      <c r="C7" s="28" t="e">
        <f>AND(OR(ISBLANK(A7),A7=" ",A7="  "),#REF!="Sim")</f>
        <v>#REF!</v>
      </c>
      <c r="D7" s="132"/>
      <c r="E7" s="132"/>
      <c r="F7" s="197"/>
      <c r="G7" s="194"/>
    </row>
    <row r="8" spans="1:7" ht="15">
      <c r="A8" s="131"/>
      <c r="B8" s="132"/>
      <c r="C8" s="28" t="e">
        <f>AND(OR(ISBLANK(A8),A8=" ",A8="  "),#REF!="Sim")</f>
        <v>#REF!</v>
      </c>
      <c r="D8" s="132"/>
      <c r="E8" s="132"/>
      <c r="F8" s="197"/>
      <c r="G8" s="194"/>
    </row>
    <row r="9" spans="1:7" ht="15">
      <c r="A9" s="131"/>
      <c r="B9" s="132"/>
      <c r="C9" s="28" t="e">
        <f>AND(OR(ISBLANK(#REF!),#REF!=" ",#REF!="  "),#REF!="Sim")</f>
        <v>#REF!</v>
      </c>
      <c r="D9" s="132"/>
      <c r="E9" s="132"/>
      <c r="F9" s="197"/>
      <c r="G9" s="194"/>
    </row>
    <row r="10" spans="1:7" ht="15">
      <c r="A10" s="131"/>
      <c r="B10" s="132"/>
      <c r="C10" s="28" t="e">
        <f>AND(OR(ISBLANK(#REF!),#REF!=" ",#REF!="  "),#REF!="Sim")</f>
        <v>#REF!</v>
      </c>
      <c r="D10" s="132"/>
      <c r="E10" s="132"/>
      <c r="F10" s="197"/>
      <c r="G10" s="194"/>
    </row>
    <row r="11" spans="1:7" ht="15">
      <c r="A11" s="131"/>
      <c r="B11" s="132"/>
      <c r="C11" s="28" t="e">
        <f>AND(OR(ISBLANK(A11),A11=" ",A11="  "),#REF!="Sim")</f>
        <v>#REF!</v>
      </c>
      <c r="D11" s="132"/>
      <c r="E11" s="132"/>
      <c r="F11" s="197"/>
      <c r="G11" s="194"/>
    </row>
    <row r="12" spans="1:7" ht="15">
      <c r="A12" s="131"/>
      <c r="B12" s="132"/>
      <c r="C12" s="28"/>
      <c r="D12" s="132"/>
      <c r="E12" s="132"/>
      <c r="F12" s="197"/>
      <c r="G12" s="194"/>
    </row>
    <row r="13" spans="1:7" ht="15">
      <c r="A13" s="131"/>
      <c r="B13" s="132"/>
      <c r="C13" s="28" t="e">
        <f>AND(OR(ISBLANK(A13),A13=" ",A13="  "),#REF!="Sim")</f>
        <v>#REF!</v>
      </c>
      <c r="D13" s="132"/>
      <c r="E13" s="132"/>
      <c r="F13" s="197"/>
      <c r="G13" s="194"/>
    </row>
    <row r="14" spans="1:7" ht="15">
      <c r="A14" s="142"/>
      <c r="B14" s="132"/>
      <c r="C14" s="28" t="e">
        <f>AND(OR(ISBLANK(A10),A10=" ",A10="  "),#REF!="Sim")</f>
        <v>#REF!</v>
      </c>
      <c r="D14" s="132"/>
      <c r="E14" s="132"/>
      <c r="F14" s="197"/>
      <c r="G14" s="194"/>
    </row>
    <row r="15" spans="1:7" ht="15">
      <c r="A15" s="198" t="s">
        <v>62</v>
      </c>
      <c r="B15" s="129"/>
      <c r="C15" s="129"/>
      <c r="D15" s="129"/>
      <c r="E15" s="129"/>
      <c r="F15" s="129"/>
      <c r="G15" s="199"/>
    </row>
    <row r="16" spans="1:7" ht="15.75" thickBot="1">
      <c r="A16" s="200"/>
      <c r="B16" s="130"/>
      <c r="C16" s="130"/>
      <c r="D16" s="130"/>
      <c r="E16" s="130"/>
      <c r="F16" s="130"/>
      <c r="G16" s="195"/>
    </row>
    <row r="17" spans="1:7" s="9" customFormat="1" ht="15.75">
      <c r="A17" s="1640" t="s">
        <v>227</v>
      </c>
      <c r="B17" s="1641"/>
      <c r="C17" s="1641"/>
      <c r="D17" s="1641"/>
      <c r="E17" s="1641"/>
      <c r="F17" s="1641"/>
      <c r="G17" s="1642"/>
    </row>
    <row r="18" spans="1:7" s="10" customFormat="1" ht="45">
      <c r="A18" s="139" t="s">
        <v>59</v>
      </c>
      <c r="B18" s="150" t="s">
        <v>60</v>
      </c>
      <c r="C18" s="196"/>
      <c r="D18" s="150" t="s">
        <v>61</v>
      </c>
      <c r="E18" s="150" t="s">
        <v>66</v>
      </c>
      <c r="F18" s="150" t="s">
        <v>63</v>
      </c>
      <c r="G18" s="151" t="s">
        <v>64</v>
      </c>
    </row>
    <row r="19" spans="1:7" ht="15">
      <c r="A19" s="131"/>
      <c r="B19" s="132"/>
      <c r="C19" s="28" t="e">
        <f>AND(OR(ISBLANK(A19),A19=" ",A19="  "),#REF!="Sim")</f>
        <v>#REF!</v>
      </c>
      <c r="D19" s="132"/>
      <c r="E19" s="132"/>
      <c r="F19" s="197"/>
      <c r="G19" s="194"/>
    </row>
    <row r="20" spans="1:7" ht="15">
      <c r="A20" s="131"/>
      <c r="B20" s="132"/>
      <c r="C20" s="28" t="e">
        <f>AND(OR(ISBLANK(A20),A20=" ",A20="  "),#REF!="Sim")</f>
        <v>#REF!</v>
      </c>
      <c r="D20" s="132"/>
      <c r="E20" s="132"/>
      <c r="F20" s="197"/>
      <c r="G20" s="194"/>
    </row>
    <row r="21" spans="1:7" ht="15">
      <c r="A21" s="131"/>
      <c r="B21" s="132"/>
      <c r="C21" s="28" t="e">
        <f>AND(OR(ISBLANK(A21),A21=" ",A21="  "),#REF!="Sim")</f>
        <v>#REF!</v>
      </c>
      <c r="D21" s="132"/>
      <c r="E21" s="132"/>
      <c r="F21" s="197"/>
      <c r="G21" s="194"/>
    </row>
    <row r="22" spans="1:7" ht="15">
      <c r="A22" s="131"/>
      <c r="B22" s="132"/>
      <c r="C22" s="28" t="e">
        <f>AND(OR(ISBLANK(A22),A22=" ",A22="  "),#REF!="Sim")</f>
        <v>#REF!</v>
      </c>
      <c r="D22" s="132"/>
      <c r="E22" s="132"/>
      <c r="F22" s="197"/>
      <c r="G22" s="194"/>
    </row>
    <row r="23" spans="1:7" ht="15">
      <c r="A23" s="131"/>
      <c r="B23" s="132"/>
      <c r="C23" s="28" t="e">
        <f>AND(OR(ISBLANK(A23),A23=" ",A23="  "),#REF!="Sim")</f>
        <v>#REF!</v>
      </c>
      <c r="D23" s="132"/>
      <c r="E23" s="132"/>
      <c r="F23" s="197"/>
      <c r="G23" s="194"/>
    </row>
    <row r="24" spans="1:7" ht="15">
      <c r="A24" s="131"/>
      <c r="B24" s="132"/>
      <c r="C24" s="28" t="e">
        <f>AND(OR(ISBLANK(A24),A24=" ",A24="  "),#REF!="Sim")</f>
        <v>#REF!</v>
      </c>
      <c r="D24" s="132"/>
      <c r="E24" s="132"/>
      <c r="F24" s="197"/>
      <c r="G24" s="194"/>
    </row>
    <row r="25" spans="1:7" ht="15">
      <c r="A25" s="131"/>
      <c r="B25" s="132"/>
      <c r="C25" s="28" t="e">
        <f>AND(OR(ISBLANK(#REF!),#REF!=" ",#REF!="  "),#REF!="Sim")</f>
        <v>#REF!</v>
      </c>
      <c r="D25" s="132"/>
      <c r="E25" s="132"/>
      <c r="F25" s="197"/>
      <c r="G25" s="194"/>
    </row>
    <row r="26" spans="1:7" ht="15">
      <c r="A26" s="131"/>
      <c r="B26" s="132"/>
      <c r="C26" s="28" t="e">
        <f>AND(OR(ISBLANK(#REF!),#REF!=" ",#REF!="  "),#REF!="Sim")</f>
        <v>#REF!</v>
      </c>
      <c r="D26" s="132"/>
      <c r="E26" s="132"/>
      <c r="F26" s="197"/>
      <c r="G26" s="194"/>
    </row>
    <row r="27" spans="1:7" ht="15">
      <c r="A27" s="131"/>
      <c r="B27" s="132"/>
      <c r="C27" s="28" t="e">
        <f>AND(OR(ISBLANK(A27),A27=" ",A27="  "),#REF!="Sim")</f>
        <v>#REF!</v>
      </c>
      <c r="D27" s="132"/>
      <c r="E27" s="132"/>
      <c r="F27" s="197"/>
      <c r="G27" s="194"/>
    </row>
    <row r="28" spans="1:7" ht="15">
      <c r="A28" s="131"/>
      <c r="B28" s="132"/>
      <c r="C28" s="28"/>
      <c r="D28" s="132"/>
      <c r="E28" s="132"/>
      <c r="F28" s="197"/>
      <c r="G28" s="194"/>
    </row>
    <row r="29" spans="1:7" ht="15">
      <c r="A29" s="131"/>
      <c r="B29" s="132"/>
      <c r="C29" s="28" t="e">
        <f>AND(OR(ISBLANK(A29),A29=" ",A29="  "),#REF!="Sim")</f>
        <v>#REF!</v>
      </c>
      <c r="D29" s="132"/>
      <c r="E29" s="132"/>
      <c r="F29" s="197"/>
      <c r="G29" s="194"/>
    </row>
    <row r="30" spans="1:7" ht="15">
      <c r="A30" s="142"/>
      <c r="B30" s="132"/>
      <c r="C30" s="28" t="e">
        <f>AND(OR(ISBLANK(A26),A26=" ",A26="  "),#REF!="Sim")</f>
        <v>#REF!</v>
      </c>
      <c r="D30" s="132"/>
      <c r="E30" s="132"/>
      <c r="F30" s="197"/>
      <c r="G30" s="194"/>
    </row>
    <row r="31" spans="1:7" ht="15">
      <c r="A31" s="198" t="s">
        <v>62</v>
      </c>
      <c r="B31" s="129"/>
      <c r="C31" s="129"/>
      <c r="D31" s="129"/>
      <c r="E31" s="129"/>
      <c r="F31" s="129"/>
      <c r="G31" s="199"/>
    </row>
    <row r="32" spans="1:7" ht="15.75" thickBot="1">
      <c r="A32" s="200"/>
      <c r="B32" s="130"/>
      <c r="C32" s="130"/>
      <c r="D32" s="130"/>
      <c r="E32" s="130"/>
      <c r="F32" s="130"/>
      <c r="G32" s="195"/>
    </row>
  </sheetData>
  <sheetProtection/>
  <mergeCells count="3">
    <mergeCell ref="A3:G3"/>
    <mergeCell ref="A17:G17"/>
    <mergeCell ref="A2:G2"/>
  </mergeCells>
  <conditionalFormatting sqref="G5:G14 G19:G30">
    <cfRule type="cellIs" priority="6" dxfId="6" operator="equal" stopIfTrue="1">
      <formula>"Satisfatório"</formula>
    </cfRule>
  </conditionalFormatting>
  <conditionalFormatting sqref="G5:G14">
    <cfRule type="cellIs" priority="3" dxfId="2" operator="equal" stopIfTrue="1">
      <formula>"Insatisfatório"</formula>
    </cfRule>
    <cfRule type="cellIs" priority="4" dxfId="7" operator="equal" stopIfTrue="1">
      <formula>"Satisfatório"</formula>
    </cfRule>
  </conditionalFormatting>
  <conditionalFormatting sqref="G19:G30">
    <cfRule type="cellIs" priority="1" dxfId="2" operator="equal" stopIfTrue="1">
      <formula>"Insatisfatório"</formula>
    </cfRule>
    <cfRule type="cellIs" priority="2" dxfId="7" operator="equal" stopIfTrue="1">
      <formula>"Satisfatório"</formula>
    </cfRule>
  </conditionalFormatting>
  <dataValidations count="1">
    <dataValidation type="list" allowBlank="1" showInputMessage="1" showErrorMessage="1" sqref="G5:G14 G19:G30">
      <formula1>"Satisfatório,Insatisfatório"</formula1>
    </dataValidation>
  </dataValidations>
  <printOptions horizontalCentered="1" verticalCentered="1"/>
  <pageMargins left="0.7874015748031497" right="0.7874015748031497" top="0.984251968503937" bottom="0.984251968503937" header="0.5118110236220472" footer="0.5118110236220472"/>
  <pageSetup horizontalDpi="300" verticalDpi="300" orientation="landscape" scale="69" r:id="rId2"/>
  <drawing r:id="rId1"/>
</worksheet>
</file>

<file path=xl/worksheets/sheet17.xml><?xml version="1.0" encoding="utf-8"?>
<worksheet xmlns="http://schemas.openxmlformats.org/spreadsheetml/2006/main" xmlns:r="http://schemas.openxmlformats.org/officeDocument/2006/relationships">
  <dimension ref="A1:CA97"/>
  <sheetViews>
    <sheetView zoomScalePageLayoutView="0" workbookViewId="0" topLeftCell="A1">
      <selection activeCell="C6" sqref="C6:C8"/>
    </sheetView>
  </sheetViews>
  <sheetFormatPr defaultColWidth="9.140625" defaultRowHeight="12.75"/>
  <cols>
    <col min="1" max="1" width="28.00390625" style="992" customWidth="1"/>
    <col min="2" max="4" width="37.28125" style="992" customWidth="1"/>
    <col min="5" max="16384" width="9.140625" style="992" customWidth="1"/>
  </cols>
  <sheetData>
    <row r="1" spans="1:79" s="991" customFormat="1" ht="30.75" customHeight="1" thickBot="1">
      <c r="A1" s="985"/>
      <c r="B1" s="986"/>
      <c r="C1" s="951"/>
      <c r="D1" s="951"/>
      <c r="E1" s="951"/>
      <c r="F1" s="951"/>
      <c r="G1" s="951"/>
      <c r="H1" s="951"/>
      <c r="I1" s="111"/>
      <c r="J1" s="951"/>
      <c r="K1" s="987"/>
      <c r="L1" s="988"/>
      <c r="M1" s="988"/>
      <c r="N1" s="988"/>
      <c r="O1" s="988"/>
      <c r="P1" s="988"/>
      <c r="Q1" s="45"/>
      <c r="R1" s="989"/>
      <c r="S1" s="989"/>
      <c r="T1" s="988"/>
      <c r="U1" s="988"/>
      <c r="V1" s="988"/>
      <c r="W1" s="45"/>
      <c r="X1" s="45"/>
      <c r="Y1" s="990"/>
      <c r="Z1" s="989"/>
      <c r="AA1" s="989"/>
      <c r="AB1" s="989"/>
      <c r="AC1" s="988"/>
      <c r="AD1" s="988"/>
      <c r="AE1" s="988"/>
      <c r="AF1" s="988"/>
      <c r="AG1" s="988"/>
      <c r="AH1" s="988"/>
      <c r="AI1" s="988"/>
      <c r="AJ1" s="45"/>
      <c r="AK1" s="45"/>
      <c r="AL1" s="990"/>
      <c r="AM1" s="989"/>
      <c r="AN1" s="989"/>
      <c r="AO1" s="989"/>
      <c r="AP1" s="988"/>
      <c r="AQ1" s="988"/>
      <c r="AR1" s="988"/>
      <c r="AS1" s="988"/>
      <c r="AT1" s="988"/>
      <c r="AU1" s="988"/>
      <c r="AV1" s="988"/>
      <c r="AW1" s="45"/>
      <c r="AX1" s="45"/>
      <c r="AY1" s="990"/>
      <c r="AZ1" s="989"/>
      <c r="BA1" s="989"/>
      <c r="BB1" s="989"/>
      <c r="BC1" s="988"/>
      <c r="BD1" s="988"/>
      <c r="BE1" s="988"/>
      <c r="BF1" s="988"/>
      <c r="BG1" s="988"/>
      <c r="BH1" s="988"/>
      <c r="BI1" s="988"/>
      <c r="BJ1" s="985"/>
      <c r="BK1" s="985"/>
      <c r="BL1" s="985"/>
      <c r="BM1" s="985"/>
      <c r="BN1" s="985"/>
      <c r="BO1" s="985"/>
      <c r="BP1" s="985"/>
      <c r="BQ1" s="985"/>
      <c r="BR1" s="985"/>
      <c r="BS1" s="985"/>
      <c r="BT1" s="985"/>
      <c r="BU1" s="985"/>
      <c r="BV1" s="985"/>
      <c r="BW1" s="985"/>
      <c r="BX1" s="985"/>
      <c r="BY1" s="985"/>
      <c r="BZ1" s="985"/>
      <c r="CA1" s="985"/>
    </row>
    <row r="2" spans="1:4" ht="16.5" customHeight="1" thickBot="1">
      <c r="A2" s="1644" t="s">
        <v>1111</v>
      </c>
      <c r="B2" s="1645"/>
      <c r="C2" s="1645"/>
      <c r="D2" s="1646"/>
    </row>
    <row r="3" spans="1:4" ht="16.5" customHeight="1" thickBot="1">
      <c r="A3" s="1644" t="s">
        <v>904</v>
      </c>
      <c r="B3" s="1645"/>
      <c r="C3" s="1645"/>
      <c r="D3" s="1646"/>
    </row>
    <row r="4" spans="1:4" ht="16.5" customHeight="1" thickBot="1">
      <c r="A4" s="1647" t="s">
        <v>905</v>
      </c>
      <c r="B4" s="1648"/>
      <c r="C4" s="1648"/>
      <c r="D4" s="1649"/>
    </row>
    <row r="5" spans="1:4" ht="16.5" thickBot="1">
      <c r="A5" s="1010" t="s">
        <v>906</v>
      </c>
      <c r="B5" s="1011" t="s">
        <v>907</v>
      </c>
      <c r="C5" s="1011" t="s">
        <v>908</v>
      </c>
      <c r="D5" s="1011" t="s">
        <v>648</v>
      </c>
    </row>
    <row r="6" spans="1:4" ht="47.25" customHeight="1">
      <c r="A6" s="1650" t="s">
        <v>909</v>
      </c>
      <c r="B6" s="1012" t="s">
        <v>1108</v>
      </c>
      <c r="C6" s="1653" t="s">
        <v>910</v>
      </c>
      <c r="D6" s="1013" t="s">
        <v>911</v>
      </c>
    </row>
    <row r="7" spans="1:4" ht="47.25">
      <c r="A7" s="1651"/>
      <c r="B7" s="1012" t="s">
        <v>1109</v>
      </c>
      <c r="C7" s="1654"/>
      <c r="D7" s="1013" t="s">
        <v>912</v>
      </c>
    </row>
    <row r="8" spans="1:4" ht="63.75" thickBot="1">
      <c r="A8" s="1651"/>
      <c r="B8" s="1014" t="s">
        <v>1110</v>
      </c>
      <c r="C8" s="1655"/>
      <c r="D8" s="1015" t="s">
        <v>913</v>
      </c>
    </row>
    <row r="9" spans="1:4" ht="63" customHeight="1">
      <c r="A9" s="1651"/>
      <c r="B9" s="1013" t="s">
        <v>914</v>
      </c>
      <c r="C9" s="1653" t="s">
        <v>917</v>
      </c>
      <c r="D9" s="1013" t="s">
        <v>918</v>
      </c>
    </row>
    <row r="10" spans="1:4" ht="47.25">
      <c r="A10" s="1651"/>
      <c r="B10" s="1013" t="s">
        <v>915</v>
      </c>
      <c r="C10" s="1654"/>
      <c r="D10" s="1013" t="s">
        <v>919</v>
      </c>
    </row>
    <row r="11" spans="1:4" ht="63.75" thickBot="1">
      <c r="A11" s="1651"/>
      <c r="B11" s="1015" t="s">
        <v>916</v>
      </c>
      <c r="C11" s="1655"/>
      <c r="D11" s="1015" t="s">
        <v>920</v>
      </c>
    </row>
    <row r="12" spans="1:4" ht="47.25" customHeight="1">
      <c r="A12" s="1651"/>
      <c r="B12" s="1013" t="s">
        <v>921</v>
      </c>
      <c r="C12" s="1653" t="s">
        <v>925</v>
      </c>
      <c r="D12" s="1013" t="s">
        <v>926</v>
      </c>
    </row>
    <row r="13" spans="1:4" ht="63">
      <c r="A13" s="1651"/>
      <c r="B13" s="1013" t="s">
        <v>922</v>
      </c>
      <c r="C13" s="1654"/>
      <c r="D13" s="1013" t="s">
        <v>927</v>
      </c>
    </row>
    <row r="14" spans="1:4" ht="31.5">
      <c r="A14" s="1651"/>
      <c r="B14" s="1013" t="s">
        <v>923</v>
      </c>
      <c r="C14" s="1654"/>
      <c r="D14" s="1013" t="s">
        <v>928</v>
      </c>
    </row>
    <row r="15" spans="1:4" ht="48" thickBot="1">
      <c r="A15" s="1651"/>
      <c r="B15" s="1015" t="s">
        <v>924</v>
      </c>
      <c r="C15" s="1655"/>
      <c r="D15" s="1016"/>
    </row>
    <row r="16" spans="1:4" ht="47.25" customHeight="1">
      <c r="A16" s="1651"/>
      <c r="B16" s="1013" t="s">
        <v>929</v>
      </c>
      <c r="C16" s="1653" t="s">
        <v>933</v>
      </c>
      <c r="D16" s="1013" t="s">
        <v>934</v>
      </c>
    </row>
    <row r="17" spans="1:4" ht="63">
      <c r="A17" s="1651"/>
      <c r="B17" s="1013" t="s">
        <v>930</v>
      </c>
      <c r="C17" s="1654"/>
      <c r="D17" s="1013" t="s">
        <v>935</v>
      </c>
    </row>
    <row r="18" spans="1:4" ht="47.25">
      <c r="A18" s="1651"/>
      <c r="B18" s="1013" t="s">
        <v>931</v>
      </c>
      <c r="C18" s="1654"/>
      <c r="D18" s="1013" t="s">
        <v>936</v>
      </c>
    </row>
    <row r="19" spans="1:4" ht="63.75" thickBot="1">
      <c r="A19" s="1651"/>
      <c r="B19" s="1015" t="s">
        <v>932</v>
      </c>
      <c r="C19" s="1655"/>
      <c r="D19" s="1016"/>
    </row>
    <row r="20" spans="1:4" ht="47.25" customHeight="1">
      <c r="A20" s="1651"/>
      <c r="B20" s="1013" t="s">
        <v>937</v>
      </c>
      <c r="C20" s="1653" t="s">
        <v>941</v>
      </c>
      <c r="D20" s="1013" t="s">
        <v>942</v>
      </c>
    </row>
    <row r="21" spans="1:4" ht="47.25">
      <c r="A21" s="1651"/>
      <c r="B21" s="1013" t="s">
        <v>938</v>
      </c>
      <c r="C21" s="1654"/>
      <c r="D21" s="1013" t="s">
        <v>943</v>
      </c>
    </row>
    <row r="22" spans="1:4" ht="47.25">
      <c r="A22" s="1651"/>
      <c r="B22" s="1013" t="s">
        <v>939</v>
      </c>
      <c r="C22" s="1654"/>
      <c r="D22" s="1013" t="s">
        <v>944</v>
      </c>
    </row>
    <row r="23" spans="1:4" ht="32.25" thickBot="1">
      <c r="A23" s="1651"/>
      <c r="B23" s="1015" t="s">
        <v>940</v>
      </c>
      <c r="C23" s="1655"/>
      <c r="D23" s="1015" t="s">
        <v>945</v>
      </c>
    </row>
    <row r="24" spans="1:4" ht="63" customHeight="1">
      <c r="A24" s="1651"/>
      <c r="B24" s="1013" t="s">
        <v>946</v>
      </c>
      <c r="C24" s="1653" t="s">
        <v>948</v>
      </c>
      <c r="D24" s="1013" t="s">
        <v>949</v>
      </c>
    </row>
    <row r="25" spans="1:4" ht="47.25">
      <c r="A25" s="1651"/>
      <c r="B25" s="1013" t="s">
        <v>947</v>
      </c>
      <c r="C25" s="1654"/>
      <c r="D25" s="1013" t="s">
        <v>950</v>
      </c>
    </row>
    <row r="26" spans="1:4" ht="48" thickBot="1">
      <c r="A26" s="1652"/>
      <c r="B26" s="1015"/>
      <c r="C26" s="1655"/>
      <c r="D26" s="1015" t="s">
        <v>951</v>
      </c>
    </row>
    <row r="27" spans="1:4" ht="15.75">
      <c r="A27" s="1656" t="s">
        <v>952</v>
      </c>
      <c r="B27" s="1657"/>
      <c r="C27" s="1657"/>
      <c r="D27" s="1658"/>
    </row>
    <row r="28" spans="1:4" ht="15.75" customHeight="1">
      <c r="A28" s="1659" t="s">
        <v>953</v>
      </c>
      <c r="B28" s="1660"/>
      <c r="C28" s="1660"/>
      <c r="D28" s="1661"/>
    </row>
    <row r="29" spans="1:4" ht="15.75" customHeight="1">
      <c r="A29" s="1659" t="s">
        <v>954</v>
      </c>
      <c r="B29" s="1660"/>
      <c r="C29" s="1660"/>
      <c r="D29" s="1661"/>
    </row>
    <row r="30" spans="1:4" ht="15.75" customHeight="1">
      <c r="A30" s="1659" t="s">
        <v>955</v>
      </c>
      <c r="B30" s="1660"/>
      <c r="C30" s="1660"/>
      <c r="D30" s="1661"/>
    </row>
    <row r="31" spans="1:4" ht="16.5" customHeight="1" thickBot="1">
      <c r="A31" s="1662" t="s">
        <v>956</v>
      </c>
      <c r="B31" s="1663"/>
      <c r="C31" s="1663"/>
      <c r="D31" s="1664"/>
    </row>
    <row r="32" spans="1:4" ht="16.5" customHeight="1" thickBot="1">
      <c r="A32" s="1644" t="s">
        <v>957</v>
      </c>
      <c r="B32" s="1645"/>
      <c r="C32" s="1645"/>
      <c r="D32" s="1646"/>
    </row>
    <row r="33" spans="1:4" ht="16.5" thickBot="1">
      <c r="A33" s="1010" t="s">
        <v>906</v>
      </c>
      <c r="B33" s="1011" t="s">
        <v>907</v>
      </c>
      <c r="C33" s="1011" t="s">
        <v>908</v>
      </c>
      <c r="D33" s="1011" t="s">
        <v>648</v>
      </c>
    </row>
    <row r="34" spans="1:4" ht="47.25" customHeight="1">
      <c r="A34" s="1650" t="s">
        <v>958</v>
      </c>
      <c r="B34" s="1650" t="s">
        <v>959</v>
      </c>
      <c r="C34" s="1650" t="s">
        <v>960</v>
      </c>
      <c r="D34" s="1013" t="s">
        <v>961</v>
      </c>
    </row>
    <row r="35" spans="1:4" ht="47.25">
      <c r="A35" s="1651"/>
      <c r="B35" s="1651"/>
      <c r="C35" s="1651"/>
      <c r="D35" s="1013" t="s">
        <v>962</v>
      </c>
    </row>
    <row r="36" spans="1:4" ht="48" thickBot="1">
      <c r="A36" s="1651"/>
      <c r="B36" s="1652"/>
      <c r="C36" s="1652"/>
      <c r="D36" s="1015" t="s">
        <v>963</v>
      </c>
    </row>
    <row r="37" spans="1:4" ht="31.5" customHeight="1">
      <c r="A37" s="1651"/>
      <c r="B37" s="1650" t="s">
        <v>964</v>
      </c>
      <c r="C37" s="1650" t="s">
        <v>965</v>
      </c>
      <c r="D37" s="1013" t="s">
        <v>966</v>
      </c>
    </row>
    <row r="38" spans="1:4" ht="48" thickBot="1">
      <c r="A38" s="1651"/>
      <c r="B38" s="1652"/>
      <c r="C38" s="1652"/>
      <c r="D38" s="1015" t="s">
        <v>967</v>
      </c>
    </row>
    <row r="39" spans="1:4" ht="47.25" customHeight="1">
      <c r="A39" s="1651"/>
      <c r="B39" s="1017" t="s">
        <v>968</v>
      </c>
      <c r="C39" s="1665" t="s">
        <v>971</v>
      </c>
      <c r="D39" s="1013" t="s">
        <v>972</v>
      </c>
    </row>
    <row r="40" spans="1:4" ht="31.5">
      <c r="A40" s="1651"/>
      <c r="B40" s="1017" t="s">
        <v>969</v>
      </c>
      <c r="C40" s="1666"/>
      <c r="D40" s="1013" t="s">
        <v>973</v>
      </c>
    </row>
    <row r="41" spans="1:4" ht="47.25">
      <c r="A41" s="1651"/>
      <c r="B41" s="1017" t="s">
        <v>970</v>
      </c>
      <c r="C41" s="1666"/>
      <c r="D41" s="1013" t="s">
        <v>974</v>
      </c>
    </row>
    <row r="42" spans="1:4" ht="48" thickBot="1">
      <c r="A42" s="1651"/>
      <c r="B42" s="1016"/>
      <c r="C42" s="1667"/>
      <c r="D42" s="1015" t="s">
        <v>975</v>
      </c>
    </row>
    <row r="43" spans="1:4" ht="47.25" customHeight="1">
      <c r="A43" s="1651"/>
      <c r="B43" s="1017" t="s">
        <v>976</v>
      </c>
      <c r="C43" s="1665" t="s">
        <v>979</v>
      </c>
      <c r="D43" s="1013" t="s">
        <v>980</v>
      </c>
    </row>
    <row r="44" spans="1:4" ht="47.25">
      <c r="A44" s="1651"/>
      <c r="B44" s="1017" t="s">
        <v>977</v>
      </c>
      <c r="C44" s="1666"/>
      <c r="D44" s="1013" t="s">
        <v>981</v>
      </c>
    </row>
    <row r="45" spans="1:4" ht="48" thickBot="1">
      <c r="A45" s="1651"/>
      <c r="B45" s="1018" t="s">
        <v>978</v>
      </c>
      <c r="C45" s="1667"/>
      <c r="D45" s="1015" t="s">
        <v>982</v>
      </c>
    </row>
    <row r="46" spans="1:4" ht="31.5" customHeight="1">
      <c r="A46" s="1651"/>
      <c r="B46" s="1017" t="s">
        <v>983</v>
      </c>
      <c r="C46" s="1650" t="s">
        <v>985</v>
      </c>
      <c r="D46" s="1013" t="s">
        <v>986</v>
      </c>
    </row>
    <row r="47" spans="1:4" ht="48" thickBot="1">
      <c r="A47" s="1651"/>
      <c r="B47" s="1018" t="s">
        <v>984</v>
      </c>
      <c r="C47" s="1652"/>
      <c r="D47" s="1015" t="s">
        <v>987</v>
      </c>
    </row>
    <row r="48" spans="1:4" ht="47.25" customHeight="1">
      <c r="A48" s="1651"/>
      <c r="B48" s="1017" t="s">
        <v>988</v>
      </c>
      <c r="C48" s="1650" t="s">
        <v>990</v>
      </c>
      <c r="D48" s="1013" t="s">
        <v>991</v>
      </c>
    </row>
    <row r="49" spans="1:4" ht="48" thickBot="1">
      <c r="A49" s="1651"/>
      <c r="B49" s="1018" t="s">
        <v>989</v>
      </c>
      <c r="C49" s="1652"/>
      <c r="D49" s="1015" t="s">
        <v>992</v>
      </c>
    </row>
    <row r="50" spans="1:4" ht="47.25" customHeight="1">
      <c r="A50" s="1651"/>
      <c r="B50" s="1114" t="s">
        <v>993</v>
      </c>
      <c r="C50" s="1650" t="s">
        <v>997</v>
      </c>
      <c r="D50" s="1013" t="s">
        <v>998</v>
      </c>
    </row>
    <row r="51" spans="1:4" ht="63">
      <c r="A51" s="1651"/>
      <c r="B51" s="1013" t="s">
        <v>994</v>
      </c>
      <c r="C51" s="1651"/>
      <c r="D51" s="1013" t="s">
        <v>999</v>
      </c>
    </row>
    <row r="52" spans="1:4" ht="47.25">
      <c r="A52" s="1651"/>
      <c r="B52" s="1114" t="s">
        <v>995</v>
      </c>
      <c r="C52" s="1651"/>
      <c r="D52" s="1013" t="s">
        <v>1000</v>
      </c>
    </row>
    <row r="53" spans="1:4" ht="32.25" thickBot="1">
      <c r="A53" s="1651"/>
      <c r="B53" s="1015" t="s">
        <v>996</v>
      </c>
      <c r="C53" s="1652"/>
      <c r="D53" s="1016"/>
    </row>
    <row r="54" spans="1:4" ht="31.5" customHeight="1">
      <c r="A54" s="1651"/>
      <c r="B54" s="1013" t="s">
        <v>1001</v>
      </c>
      <c r="C54" s="1665" t="s">
        <v>1006</v>
      </c>
      <c r="D54" s="1013" t="s">
        <v>1007</v>
      </c>
    </row>
    <row r="55" spans="1:4" ht="47.25">
      <c r="A55" s="1651"/>
      <c r="B55" s="1013" t="s">
        <v>1002</v>
      </c>
      <c r="C55" s="1666"/>
      <c r="D55" s="1013" t="s">
        <v>1008</v>
      </c>
    </row>
    <row r="56" spans="1:4" ht="47.25">
      <c r="A56" s="1651"/>
      <c r="B56" s="1013" t="s">
        <v>1003</v>
      </c>
      <c r="C56" s="1666"/>
      <c r="D56" s="1013" t="s">
        <v>1009</v>
      </c>
    </row>
    <row r="57" spans="1:4" ht="47.25">
      <c r="A57" s="1651"/>
      <c r="B57" s="1013" t="s">
        <v>1004</v>
      </c>
      <c r="C57" s="1666"/>
      <c r="D57" s="1019"/>
    </row>
    <row r="58" spans="1:4" ht="32.25" thickBot="1">
      <c r="A58" s="1651"/>
      <c r="B58" s="1015" t="s">
        <v>1005</v>
      </c>
      <c r="C58" s="1667"/>
      <c r="D58" s="1016"/>
    </row>
    <row r="59" spans="1:4" ht="47.25" customHeight="1">
      <c r="A59" s="1651"/>
      <c r="B59" s="1013" t="s">
        <v>1010</v>
      </c>
      <c r="C59" s="1650" t="s">
        <v>1012</v>
      </c>
      <c r="D59" s="1013" t="s">
        <v>1013</v>
      </c>
    </row>
    <row r="60" spans="1:4" ht="47.25">
      <c r="A60" s="1651"/>
      <c r="B60" s="1013" t="s">
        <v>1011</v>
      </c>
      <c r="C60" s="1651"/>
      <c r="D60" s="1013" t="s">
        <v>1014</v>
      </c>
    </row>
    <row r="61" spans="1:4" ht="48" thickBot="1">
      <c r="A61" s="1651"/>
      <c r="B61" s="1016"/>
      <c r="C61" s="1652"/>
      <c r="D61" s="1015" t="s">
        <v>1015</v>
      </c>
    </row>
    <row r="62" spans="1:4" ht="47.25" customHeight="1">
      <c r="A62" s="1651"/>
      <c r="B62" s="1013" t="s">
        <v>1016</v>
      </c>
      <c r="C62" s="1665" t="s">
        <v>1018</v>
      </c>
      <c r="D62" s="1013" t="s">
        <v>1019</v>
      </c>
    </row>
    <row r="63" spans="1:4" ht="47.25">
      <c r="A63" s="1651"/>
      <c r="B63" s="1013" t="s">
        <v>1017</v>
      </c>
      <c r="C63" s="1666"/>
      <c r="D63" s="1013" t="s">
        <v>1020</v>
      </c>
    </row>
    <row r="64" spans="1:4" ht="32.25" thickBot="1">
      <c r="A64" s="1651"/>
      <c r="B64" s="1016"/>
      <c r="C64" s="1667"/>
      <c r="D64" s="1015" t="s">
        <v>1021</v>
      </c>
    </row>
    <row r="65" spans="1:4" ht="63" customHeight="1">
      <c r="A65" s="1651"/>
      <c r="B65" s="1013" t="s">
        <v>1022</v>
      </c>
      <c r="C65" s="1650" t="s">
        <v>1024</v>
      </c>
      <c r="D65" s="1013" t="s">
        <v>1025</v>
      </c>
    </row>
    <row r="66" spans="1:4" ht="63">
      <c r="A66" s="1651"/>
      <c r="B66" s="1013" t="s">
        <v>1023</v>
      </c>
      <c r="C66" s="1651"/>
      <c r="D66" s="1013" t="s">
        <v>1026</v>
      </c>
    </row>
    <row r="67" spans="1:4" ht="48" thickBot="1">
      <c r="A67" s="1651"/>
      <c r="B67" s="1016"/>
      <c r="C67" s="1652"/>
      <c r="D67" s="1015" t="s">
        <v>1027</v>
      </c>
    </row>
    <row r="68" spans="1:4" ht="47.25" customHeight="1">
      <c r="A68" s="1651"/>
      <c r="B68" s="1013" t="s">
        <v>1028</v>
      </c>
      <c r="C68" s="1650" t="s">
        <v>1035</v>
      </c>
      <c r="D68" s="1013" t="s">
        <v>1036</v>
      </c>
    </row>
    <row r="69" spans="1:4" ht="31.5">
      <c r="A69" s="1651"/>
      <c r="B69" s="1013" t="s">
        <v>1029</v>
      </c>
      <c r="C69" s="1651"/>
      <c r="D69" s="1013" t="s">
        <v>1037</v>
      </c>
    </row>
    <row r="70" spans="1:4" ht="47.25">
      <c r="A70" s="1651"/>
      <c r="B70" s="1013" t="s">
        <v>1030</v>
      </c>
      <c r="C70" s="1651"/>
      <c r="D70" s="1013" t="s">
        <v>1038</v>
      </c>
    </row>
    <row r="71" spans="1:4" ht="47.25">
      <c r="A71" s="1651"/>
      <c r="B71" s="1013" t="s">
        <v>1031</v>
      </c>
      <c r="C71" s="1651"/>
      <c r="D71" s="1013" t="s">
        <v>1039</v>
      </c>
    </row>
    <row r="72" spans="1:4" ht="47.25">
      <c r="A72" s="1651"/>
      <c r="B72" s="1013" t="s">
        <v>1032</v>
      </c>
      <c r="C72" s="1651"/>
      <c r="D72" s="1019"/>
    </row>
    <row r="73" spans="1:4" ht="47.25">
      <c r="A73" s="1651"/>
      <c r="B73" s="1013" t="s">
        <v>1033</v>
      </c>
      <c r="C73" s="1651"/>
      <c r="D73" s="1019"/>
    </row>
    <row r="74" spans="1:4" ht="32.25" thickBot="1">
      <c r="A74" s="1652"/>
      <c r="B74" s="1015" t="s">
        <v>1034</v>
      </c>
      <c r="C74" s="1652"/>
      <c r="D74" s="1016"/>
    </row>
    <row r="75" spans="1:4" ht="15.75">
      <c r="A75" s="1656" t="s">
        <v>952</v>
      </c>
      <c r="B75" s="1657"/>
      <c r="C75" s="1657"/>
      <c r="D75" s="1658"/>
    </row>
    <row r="76" spans="1:4" ht="15.75" customHeight="1">
      <c r="A76" s="1668" t="s">
        <v>1040</v>
      </c>
      <c r="B76" s="1669"/>
      <c r="C76" s="1669"/>
      <c r="D76" s="1670"/>
    </row>
    <row r="77" spans="1:4" ht="15.75" customHeight="1">
      <c r="A77" s="1668" t="s">
        <v>1041</v>
      </c>
      <c r="B77" s="1669"/>
      <c r="C77" s="1669"/>
      <c r="D77" s="1670"/>
    </row>
    <row r="78" spans="1:4" ht="15.75" customHeight="1">
      <c r="A78" s="1668" t="s">
        <v>1042</v>
      </c>
      <c r="B78" s="1669"/>
      <c r="C78" s="1669"/>
      <c r="D78" s="1670"/>
    </row>
    <row r="79" spans="1:4" ht="16.5" customHeight="1" thickBot="1">
      <c r="A79" s="1671" t="s">
        <v>1043</v>
      </c>
      <c r="B79" s="1672"/>
      <c r="C79" s="1672"/>
      <c r="D79" s="1673"/>
    </row>
    <row r="80" spans="1:4" ht="16.5" customHeight="1" thickBot="1">
      <c r="A80" s="1644" t="s">
        <v>1044</v>
      </c>
      <c r="B80" s="1645"/>
      <c r="C80" s="1645"/>
      <c r="D80" s="1646"/>
    </row>
    <row r="81" spans="1:4" ht="16.5" thickBot="1">
      <c r="A81" s="1010" t="s">
        <v>906</v>
      </c>
      <c r="B81" s="1011" t="s">
        <v>907</v>
      </c>
      <c r="C81" s="1011" t="s">
        <v>908</v>
      </c>
      <c r="D81" s="1011" t="s">
        <v>648</v>
      </c>
    </row>
    <row r="82" spans="1:4" ht="47.25" customHeight="1">
      <c r="A82" s="1650" t="s">
        <v>1045</v>
      </c>
      <c r="B82" s="1013" t="s">
        <v>1046</v>
      </c>
      <c r="C82" s="1650" t="s">
        <v>1048</v>
      </c>
      <c r="D82" s="1013" t="s">
        <v>1049</v>
      </c>
    </row>
    <row r="83" spans="1:4" ht="79.5" thickBot="1">
      <c r="A83" s="1651"/>
      <c r="B83" s="1015" t="s">
        <v>1047</v>
      </c>
      <c r="C83" s="1652"/>
      <c r="D83" s="1015" t="s">
        <v>1050</v>
      </c>
    </row>
    <row r="84" spans="1:4" ht="47.25" customHeight="1">
      <c r="A84" s="1651"/>
      <c r="B84" s="1013" t="s">
        <v>1051</v>
      </c>
      <c r="C84" s="1650" t="s">
        <v>1053</v>
      </c>
      <c r="D84" s="1013" t="s">
        <v>1054</v>
      </c>
    </row>
    <row r="85" spans="1:4" ht="32.25" thickBot="1">
      <c r="A85" s="1651"/>
      <c r="B85" s="1015" t="s">
        <v>1052</v>
      </c>
      <c r="C85" s="1652"/>
      <c r="D85" s="1015" t="s">
        <v>1055</v>
      </c>
    </row>
    <row r="86" spans="1:4" ht="31.5" customHeight="1">
      <c r="A86" s="1651"/>
      <c r="B86" s="1013" t="s">
        <v>1056</v>
      </c>
      <c r="C86" s="1650" t="s">
        <v>1058</v>
      </c>
      <c r="D86" s="1650" t="s">
        <v>1059</v>
      </c>
    </row>
    <row r="87" spans="1:4" ht="31.5">
      <c r="A87" s="1651"/>
      <c r="B87" s="1013" t="s">
        <v>1057</v>
      </c>
      <c r="C87" s="1651"/>
      <c r="D87" s="1651"/>
    </row>
    <row r="88" spans="1:4" ht="16.5" thickBot="1">
      <c r="A88" s="1651"/>
      <c r="B88" s="1015"/>
      <c r="C88" s="1652"/>
      <c r="D88" s="1652"/>
    </row>
    <row r="89" spans="1:4" ht="47.25" customHeight="1">
      <c r="A89" s="1651"/>
      <c r="B89" s="1013" t="s">
        <v>1060</v>
      </c>
      <c r="C89" s="1650" t="s">
        <v>1063</v>
      </c>
      <c r="D89" s="1013" t="s">
        <v>1064</v>
      </c>
    </row>
    <row r="90" spans="1:4" ht="63">
      <c r="A90" s="1651"/>
      <c r="B90" s="1013" t="s">
        <v>1061</v>
      </c>
      <c r="C90" s="1651"/>
      <c r="D90" s="1013" t="s">
        <v>1065</v>
      </c>
    </row>
    <row r="91" spans="1:4" ht="32.25" thickBot="1">
      <c r="A91" s="1651"/>
      <c r="B91" s="1015" t="s">
        <v>1062</v>
      </c>
      <c r="C91" s="1652"/>
      <c r="D91" s="1015"/>
    </row>
    <row r="92" spans="1:4" ht="31.5" customHeight="1">
      <c r="A92" s="1651"/>
      <c r="B92" s="1650" t="s">
        <v>1066</v>
      </c>
      <c r="C92" s="1650" t="s">
        <v>1067</v>
      </c>
      <c r="D92" s="1013" t="s">
        <v>1068</v>
      </c>
    </row>
    <row r="93" spans="1:4" ht="48" thickBot="1">
      <c r="A93" s="1652"/>
      <c r="B93" s="1652"/>
      <c r="C93" s="1652"/>
      <c r="D93" s="1015" t="s">
        <v>1069</v>
      </c>
    </row>
    <row r="94" spans="1:4" ht="15.75">
      <c r="A94" s="1656" t="s">
        <v>952</v>
      </c>
      <c r="B94" s="1657"/>
      <c r="C94" s="1657"/>
      <c r="D94" s="1658"/>
    </row>
    <row r="95" spans="1:4" ht="15.75" customHeight="1">
      <c r="A95" s="1668" t="s">
        <v>1070</v>
      </c>
      <c r="B95" s="1669"/>
      <c r="C95" s="1669"/>
      <c r="D95" s="1670"/>
    </row>
    <row r="96" spans="1:4" ht="15.75" customHeight="1">
      <c r="A96" s="1668" t="s">
        <v>1071</v>
      </c>
      <c r="B96" s="1669"/>
      <c r="C96" s="1669"/>
      <c r="D96" s="1670"/>
    </row>
    <row r="97" spans="1:4" ht="16.5" customHeight="1" thickBot="1">
      <c r="A97" s="1671" t="s">
        <v>1072</v>
      </c>
      <c r="B97" s="1672"/>
      <c r="C97" s="1672"/>
      <c r="D97" s="1673"/>
    </row>
  </sheetData>
  <sheetProtection/>
  <mergeCells count="49">
    <mergeCell ref="A97:D97"/>
    <mergeCell ref="A2:D2"/>
    <mergeCell ref="C89:C91"/>
    <mergeCell ref="B92:B93"/>
    <mergeCell ref="C92:C93"/>
    <mergeCell ref="A94:D94"/>
    <mergeCell ref="A95:D95"/>
    <mergeCell ref="A96:D96"/>
    <mergeCell ref="A76:D76"/>
    <mergeCell ref="A77:D77"/>
    <mergeCell ref="A78:D78"/>
    <mergeCell ref="A79:D79"/>
    <mergeCell ref="A80:D80"/>
    <mergeCell ref="A82:A93"/>
    <mergeCell ref="C82:C83"/>
    <mergeCell ref="C84:C85"/>
    <mergeCell ref="C86:C88"/>
    <mergeCell ref="D86:D88"/>
    <mergeCell ref="C54:C58"/>
    <mergeCell ref="C59:C61"/>
    <mergeCell ref="C62:C64"/>
    <mergeCell ref="C65:C67"/>
    <mergeCell ref="C68:C74"/>
    <mergeCell ref="A75:D75"/>
    <mergeCell ref="A34:A74"/>
    <mergeCell ref="B34:B36"/>
    <mergeCell ref="C34:C36"/>
    <mergeCell ref="B37:B38"/>
    <mergeCell ref="C37:C38"/>
    <mergeCell ref="C39:C42"/>
    <mergeCell ref="C43:C45"/>
    <mergeCell ref="C46:C47"/>
    <mergeCell ref="C48:C49"/>
    <mergeCell ref="C50:C53"/>
    <mergeCell ref="A27:D27"/>
    <mergeCell ref="A28:D28"/>
    <mergeCell ref="A29:D29"/>
    <mergeCell ref="A30:D30"/>
    <mergeCell ref="A31:D31"/>
    <mergeCell ref="A32:D32"/>
    <mergeCell ref="A3:D3"/>
    <mergeCell ref="A4:D4"/>
    <mergeCell ref="A6:A26"/>
    <mergeCell ref="C6:C8"/>
    <mergeCell ref="C9:C11"/>
    <mergeCell ref="C12:C15"/>
    <mergeCell ref="C16:C19"/>
    <mergeCell ref="C20:C23"/>
    <mergeCell ref="C24:C26"/>
  </mergeCells>
  <printOptions/>
  <pageMargins left="0.511811024" right="0.511811024" top="0.787401575" bottom="0.787401575" header="0.31496062" footer="0.3149606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BY10"/>
  <sheetViews>
    <sheetView zoomScalePageLayoutView="0" workbookViewId="0" topLeftCell="A1">
      <selection activeCell="C11" sqref="C11"/>
    </sheetView>
  </sheetViews>
  <sheetFormatPr defaultColWidth="9.140625" defaultRowHeight="12.75"/>
  <cols>
    <col min="1" max="1" width="54.28125" style="927" customWidth="1"/>
    <col min="2" max="2" width="18.57421875" style="927" customWidth="1"/>
    <col min="3" max="3" width="14.8515625" style="927" customWidth="1"/>
    <col min="4" max="4" width="14.8515625" style="1025" customWidth="1"/>
    <col min="5" max="5" width="9.8515625" style="1025" customWidth="1"/>
    <col min="6" max="6" width="11.421875" style="1025" customWidth="1"/>
    <col min="7" max="7" width="25.8515625" style="1025" customWidth="1"/>
    <col min="8" max="8" width="13.421875" style="1025" customWidth="1"/>
    <col min="9" max="16" width="13.421875" style="927" customWidth="1"/>
    <col min="17" max="16384" width="9.140625" style="927" customWidth="1"/>
  </cols>
  <sheetData>
    <row r="1" spans="1:77" s="991" customFormat="1" ht="36" customHeight="1" thickBot="1">
      <c r="A1" s="1020"/>
      <c r="B1" s="951"/>
      <c r="C1" s="951"/>
      <c r="D1" s="951"/>
      <c r="E1" s="111"/>
      <c r="F1" s="951"/>
      <c r="G1" s="951"/>
      <c r="H1" s="987"/>
      <c r="I1" s="988"/>
      <c r="J1" s="988"/>
      <c r="K1" s="988"/>
      <c r="L1" s="988"/>
      <c r="M1" s="988"/>
      <c r="N1" s="988"/>
      <c r="O1" s="45"/>
      <c r="P1" s="989"/>
      <c r="Q1" s="989"/>
      <c r="R1" s="988"/>
      <c r="S1" s="988"/>
      <c r="T1" s="988"/>
      <c r="U1" s="45"/>
      <c r="V1" s="45"/>
      <c r="W1" s="990"/>
      <c r="X1" s="989"/>
      <c r="Y1" s="989"/>
      <c r="Z1" s="989"/>
      <c r="AA1" s="988"/>
      <c r="AB1" s="988"/>
      <c r="AC1" s="988"/>
      <c r="AD1" s="988"/>
      <c r="AE1" s="988"/>
      <c r="AF1" s="988"/>
      <c r="AG1" s="988"/>
      <c r="AH1" s="45"/>
      <c r="AI1" s="45"/>
      <c r="AJ1" s="990"/>
      <c r="AK1" s="989"/>
      <c r="AL1" s="989"/>
      <c r="AM1" s="989"/>
      <c r="AN1" s="988"/>
      <c r="AO1" s="988"/>
      <c r="AP1" s="988"/>
      <c r="AQ1" s="988"/>
      <c r="AR1" s="988"/>
      <c r="AS1" s="988"/>
      <c r="AT1" s="988"/>
      <c r="AU1" s="45"/>
      <c r="AV1" s="45"/>
      <c r="AW1" s="990"/>
      <c r="AX1" s="989"/>
      <c r="AY1" s="989"/>
      <c r="AZ1" s="989"/>
      <c r="BA1" s="988"/>
      <c r="BB1" s="988"/>
      <c r="BC1" s="988"/>
      <c r="BD1" s="988"/>
      <c r="BE1" s="988"/>
      <c r="BF1" s="988"/>
      <c r="BG1" s="988"/>
      <c r="BH1" s="985"/>
      <c r="BI1" s="985"/>
      <c r="BJ1" s="985"/>
      <c r="BK1" s="985"/>
      <c r="BL1" s="985"/>
      <c r="BM1" s="985"/>
      <c r="BN1" s="985"/>
      <c r="BO1" s="985"/>
      <c r="BP1" s="985"/>
      <c r="BQ1" s="985"/>
      <c r="BR1" s="985"/>
      <c r="BS1" s="985"/>
      <c r="BT1" s="985"/>
      <c r="BU1" s="985"/>
      <c r="BV1" s="985"/>
      <c r="BW1" s="985"/>
      <c r="BX1" s="985"/>
      <c r="BY1" s="985"/>
    </row>
    <row r="2" spans="1:8" s="9" customFormat="1" ht="16.5" thickBot="1">
      <c r="A2" s="1678" t="s">
        <v>1497</v>
      </c>
      <c r="B2" s="1679"/>
      <c r="C2" s="1679"/>
      <c r="D2" s="1679"/>
      <c r="E2" s="1679"/>
      <c r="F2" s="1679"/>
      <c r="G2" s="1680"/>
      <c r="H2" s="1681"/>
    </row>
    <row r="3" spans="1:8" ht="15" customHeight="1">
      <c r="A3" s="1682" t="s">
        <v>1079</v>
      </c>
      <c r="B3" s="1682" t="s">
        <v>199</v>
      </c>
      <c r="C3" s="1682" t="s">
        <v>603</v>
      </c>
      <c r="D3" s="1682" t="s">
        <v>23</v>
      </c>
      <c r="E3" s="1682" t="s">
        <v>72</v>
      </c>
      <c r="F3" s="1682" t="s">
        <v>24</v>
      </c>
      <c r="G3" s="1674"/>
      <c r="H3" s="1676"/>
    </row>
    <row r="4" spans="1:8" ht="30.75" customHeight="1">
      <c r="A4" s="1683"/>
      <c r="B4" s="1683"/>
      <c r="C4" s="1683"/>
      <c r="D4" s="1683"/>
      <c r="E4" s="1683"/>
      <c r="F4" s="1683"/>
      <c r="G4" s="1675"/>
      <c r="H4" s="1677"/>
    </row>
    <row r="5" spans="1:8" ht="15">
      <c r="A5" s="998" t="s">
        <v>394</v>
      </c>
      <c r="B5" s="1021" t="s">
        <v>400</v>
      </c>
      <c r="C5" s="931">
        <v>5</v>
      </c>
      <c r="D5" s="1022">
        <v>10</v>
      </c>
      <c r="E5" s="1023">
        <f aca="true" t="shared" si="0" ref="E5:E10">C5*D5</f>
        <v>50</v>
      </c>
      <c r="F5" s="202" t="str">
        <f aca="true" t="shared" si="1" ref="F5:F10">IF(E5&lt;81,"Baixo",IF(E5&lt;161,"Moderado",IF(E5&lt;321,"Alto","Muito Alto")))</f>
        <v>Baixo</v>
      </c>
      <c r="G5" s="1024"/>
      <c r="H5" s="1024"/>
    </row>
    <row r="6" spans="1:8" ht="25.5">
      <c r="A6" s="998" t="s">
        <v>395</v>
      </c>
      <c r="B6" s="1021" t="s">
        <v>399</v>
      </c>
      <c r="C6" s="931">
        <v>5</v>
      </c>
      <c r="D6" s="1022">
        <v>10</v>
      </c>
      <c r="E6" s="1023">
        <f t="shared" si="0"/>
        <v>50</v>
      </c>
      <c r="F6" s="202" t="str">
        <f t="shared" si="1"/>
        <v>Baixo</v>
      </c>
      <c r="G6" s="1024"/>
      <c r="H6" s="1024"/>
    </row>
    <row r="7" spans="1:8" ht="25.5">
      <c r="A7" s="998" t="s">
        <v>396</v>
      </c>
      <c r="B7" s="1021" t="s">
        <v>399</v>
      </c>
      <c r="C7" s="931">
        <v>5</v>
      </c>
      <c r="D7" s="1022">
        <v>10</v>
      </c>
      <c r="E7" s="1023">
        <f t="shared" si="0"/>
        <v>50</v>
      </c>
      <c r="F7" s="202" t="str">
        <f t="shared" si="1"/>
        <v>Baixo</v>
      </c>
      <c r="G7" s="1024"/>
      <c r="H7" s="1024"/>
    </row>
    <row r="8" spans="1:8" ht="103.5" customHeight="1">
      <c r="A8" s="998" t="s">
        <v>556</v>
      </c>
      <c r="B8" s="1021" t="s">
        <v>401</v>
      </c>
      <c r="C8" s="931">
        <v>5</v>
      </c>
      <c r="D8" s="1022">
        <v>10</v>
      </c>
      <c r="E8" s="1023">
        <f t="shared" si="0"/>
        <v>50</v>
      </c>
      <c r="F8" s="202" t="str">
        <f t="shared" si="1"/>
        <v>Baixo</v>
      </c>
      <c r="G8" s="1024"/>
      <c r="H8" s="1024"/>
    </row>
    <row r="9" spans="1:8" ht="57.75" customHeight="1">
      <c r="A9" s="1274" t="s">
        <v>397</v>
      </c>
      <c r="B9" s="1275" t="s">
        <v>401</v>
      </c>
      <c r="C9" s="1276">
        <v>3</v>
      </c>
      <c r="D9" s="1277">
        <v>50</v>
      </c>
      <c r="E9" s="1023">
        <f t="shared" si="0"/>
        <v>150</v>
      </c>
      <c r="F9" s="202" t="str">
        <f t="shared" si="1"/>
        <v>Moderado</v>
      </c>
      <c r="G9" s="1024"/>
      <c r="H9" s="1024"/>
    </row>
    <row r="10" spans="1:8" ht="40.5" customHeight="1">
      <c r="A10" s="998" t="s">
        <v>398</v>
      </c>
      <c r="B10" s="1021" t="s">
        <v>399</v>
      </c>
      <c r="C10" s="931">
        <v>2</v>
      </c>
      <c r="D10" s="1022">
        <v>30</v>
      </c>
      <c r="E10" s="1023">
        <f t="shared" si="0"/>
        <v>60</v>
      </c>
      <c r="F10" s="202" t="str">
        <f t="shared" si="1"/>
        <v>Baixo</v>
      </c>
      <c r="G10" s="1024"/>
      <c r="H10" s="1024"/>
    </row>
  </sheetData>
  <sheetProtection/>
  <mergeCells count="9">
    <mergeCell ref="G3:G4"/>
    <mergeCell ref="H3:H4"/>
    <mergeCell ref="A2:H2"/>
    <mergeCell ref="E3:E4"/>
    <mergeCell ref="D3:D4"/>
    <mergeCell ref="C3:C4"/>
    <mergeCell ref="B3:B4"/>
    <mergeCell ref="A3:A4"/>
    <mergeCell ref="F3:F4"/>
  </mergeCells>
  <conditionalFormatting sqref="B5:B10">
    <cfRule type="cellIs" priority="33" dxfId="6" operator="equal" stopIfTrue="1">
      <formula>"Satisfatório"</formula>
    </cfRule>
  </conditionalFormatting>
  <conditionalFormatting sqref="F5:F8">
    <cfRule type="cellIs" priority="29" dxfId="2" operator="equal" stopIfTrue="1">
      <formula>"Muito Alto"</formula>
    </cfRule>
    <cfRule type="cellIs" priority="30" dxfId="1" operator="equal" stopIfTrue="1">
      <formula>"Alto"</formula>
    </cfRule>
    <cfRule type="cellIs" priority="31" dxfId="0" operator="equal" stopIfTrue="1">
      <formula>"Moderado"</formula>
    </cfRule>
    <cfRule type="cellIs" priority="32" dxfId="7" operator="equal" stopIfTrue="1">
      <formula>"Baixo"</formula>
    </cfRule>
  </conditionalFormatting>
  <conditionalFormatting sqref="F9:F10">
    <cfRule type="cellIs" priority="25" dxfId="2" operator="equal" stopIfTrue="1">
      <formula>"Muito Alto"</formula>
    </cfRule>
    <cfRule type="cellIs" priority="26" dxfId="1" operator="equal" stopIfTrue="1">
      <formula>"Alto"</formula>
    </cfRule>
    <cfRule type="cellIs" priority="27" dxfId="0" operator="equal" stopIfTrue="1">
      <formula>"Moderado"</formula>
    </cfRule>
    <cfRule type="cellIs" priority="28" dxfId="7" operator="equal" stopIfTrue="1">
      <formula>"Baixo"</formula>
    </cfRule>
  </conditionalFormatting>
  <dataValidations count="3">
    <dataValidation type="list" allowBlank="1" showInputMessage="1" showErrorMessage="1" sqref="B5:B10">
      <formula1>"Desenvolvimento,Governabilidade,Macroeconômicos,Ambientais e Sociais,Sustentabilidade,Reputação,Monitoramento e Prestação de Contas,Fiduciários"</formula1>
    </dataValidation>
    <dataValidation type="list" allowBlank="1" showInputMessage="1" showErrorMessage="1" sqref="D5:D10">
      <formula1>"10, 20, 30, 40, 50, 60, 70, 80, 90, 100"</formula1>
    </dataValidation>
    <dataValidation type="list" allowBlank="1" showInputMessage="1" showErrorMessage="1" sqref="C5:C10">
      <formula1>"1, 2, 3, 4, 5"</formula1>
    </dataValidation>
  </dataValidations>
  <printOptions/>
  <pageMargins left="0.511811024" right="0.511811024" top="0.787401575" bottom="0.787401575" header="0.31496062" footer="0.31496062"/>
  <pageSetup orientation="portrait" paperSize="9"/>
  <drawing r:id="rId1"/>
</worksheet>
</file>

<file path=xl/worksheets/sheet19.xml><?xml version="1.0" encoding="utf-8"?>
<worksheet xmlns="http://schemas.openxmlformats.org/spreadsheetml/2006/main" xmlns:r="http://schemas.openxmlformats.org/officeDocument/2006/relationships">
  <dimension ref="A1:CA75"/>
  <sheetViews>
    <sheetView zoomScalePageLayoutView="0" workbookViewId="0" topLeftCell="A10">
      <selection activeCell="A13" sqref="A13:H13"/>
    </sheetView>
  </sheetViews>
  <sheetFormatPr defaultColWidth="9.140625" defaultRowHeight="12.75"/>
  <cols>
    <col min="1" max="1" width="24.28125" style="992" customWidth="1"/>
    <col min="2" max="6" width="18.28125" style="992" customWidth="1"/>
    <col min="7" max="7" width="26.421875" style="992" customWidth="1"/>
    <col min="8" max="8" width="18.421875" style="992" customWidth="1"/>
    <col min="9" max="16384" width="9.140625" style="992" customWidth="1"/>
  </cols>
  <sheetData>
    <row r="1" spans="1:79" s="991" customFormat="1" ht="30.75" customHeight="1" thickBot="1">
      <c r="A1" s="985"/>
      <c r="B1" s="986"/>
      <c r="C1" s="951"/>
      <c r="D1" s="951"/>
      <c r="E1" s="951"/>
      <c r="F1" s="951"/>
      <c r="G1" s="951"/>
      <c r="H1" s="951"/>
      <c r="I1" s="111"/>
      <c r="J1" s="951"/>
      <c r="K1" s="987"/>
      <c r="L1" s="988"/>
      <c r="M1" s="988"/>
      <c r="N1" s="988"/>
      <c r="O1" s="988"/>
      <c r="P1" s="988"/>
      <c r="Q1" s="45"/>
      <c r="R1" s="989"/>
      <c r="S1" s="989"/>
      <c r="T1" s="988"/>
      <c r="U1" s="988"/>
      <c r="V1" s="988"/>
      <c r="W1" s="45"/>
      <c r="X1" s="45"/>
      <c r="Y1" s="990"/>
      <c r="Z1" s="989"/>
      <c r="AA1" s="989"/>
      <c r="AB1" s="989"/>
      <c r="AC1" s="988"/>
      <c r="AD1" s="988"/>
      <c r="AE1" s="988"/>
      <c r="AF1" s="988"/>
      <c r="AG1" s="988"/>
      <c r="AH1" s="988"/>
      <c r="AI1" s="988"/>
      <c r="AJ1" s="45"/>
      <c r="AK1" s="45"/>
      <c r="AL1" s="990"/>
      <c r="AM1" s="989"/>
      <c r="AN1" s="989"/>
      <c r="AO1" s="989"/>
      <c r="AP1" s="988"/>
      <c r="AQ1" s="988"/>
      <c r="AR1" s="988"/>
      <c r="AS1" s="988"/>
      <c r="AT1" s="988"/>
      <c r="AU1" s="988"/>
      <c r="AV1" s="988"/>
      <c r="AW1" s="45"/>
      <c r="AX1" s="45"/>
      <c r="AY1" s="990"/>
      <c r="AZ1" s="989"/>
      <c r="BA1" s="989"/>
      <c r="BB1" s="989"/>
      <c r="BC1" s="988"/>
      <c r="BD1" s="988"/>
      <c r="BE1" s="988"/>
      <c r="BF1" s="988"/>
      <c r="BG1" s="988"/>
      <c r="BH1" s="988"/>
      <c r="BI1" s="988"/>
      <c r="BJ1" s="985"/>
      <c r="BK1" s="985"/>
      <c r="BL1" s="985"/>
      <c r="BM1" s="985"/>
      <c r="BN1" s="985"/>
      <c r="BO1" s="985"/>
      <c r="BP1" s="985"/>
      <c r="BQ1" s="985"/>
      <c r="BR1" s="985"/>
      <c r="BS1" s="985"/>
      <c r="BT1" s="985"/>
      <c r="BU1" s="985"/>
      <c r="BV1" s="985"/>
      <c r="BW1" s="985"/>
      <c r="BX1" s="985"/>
      <c r="BY1" s="985"/>
      <c r="BZ1" s="985"/>
      <c r="CA1" s="985"/>
    </row>
    <row r="2" spans="1:8" ht="15.75" customHeight="1">
      <c r="A2" s="1687" t="s">
        <v>1116</v>
      </c>
      <c r="B2" s="1688"/>
      <c r="C2" s="1688"/>
      <c r="D2" s="1688"/>
      <c r="E2" s="1688"/>
      <c r="F2" s="1688"/>
      <c r="G2" s="1688"/>
      <c r="H2" s="1689"/>
    </row>
    <row r="3" spans="1:8" ht="12.75">
      <c r="A3" s="1686" t="s">
        <v>647</v>
      </c>
      <c r="B3" s="1690" t="s">
        <v>878</v>
      </c>
      <c r="C3" s="1690"/>
      <c r="D3" s="1690"/>
      <c r="E3" s="1690"/>
      <c r="F3" s="1690"/>
      <c r="G3" s="1690"/>
      <c r="H3" s="1690"/>
    </row>
    <row r="4" spans="1:8" ht="12.75">
      <c r="A4" s="1686"/>
      <c r="B4" s="1690"/>
      <c r="C4" s="1690"/>
      <c r="D4" s="1690"/>
      <c r="E4" s="1690"/>
      <c r="F4" s="1690"/>
      <c r="G4" s="1690"/>
      <c r="H4" s="1690"/>
    </row>
    <row r="5" spans="1:8" ht="12.75">
      <c r="A5" s="993" t="s">
        <v>648</v>
      </c>
      <c r="B5" s="995" t="s">
        <v>649</v>
      </c>
      <c r="C5" s="995" t="s">
        <v>650</v>
      </c>
      <c r="D5" s="995" t="s">
        <v>651</v>
      </c>
      <c r="E5" s="995" t="s">
        <v>652</v>
      </c>
      <c r="F5" s="995" t="s">
        <v>653</v>
      </c>
      <c r="G5" s="995" t="s">
        <v>654</v>
      </c>
      <c r="H5" s="995" t="s">
        <v>54</v>
      </c>
    </row>
    <row r="6" spans="1:8" ht="31.5" customHeight="1">
      <c r="A6" s="994" t="s">
        <v>655</v>
      </c>
      <c r="B6" s="996">
        <v>0.65</v>
      </c>
      <c r="C6" s="996">
        <v>0.76</v>
      </c>
      <c r="D6" s="996">
        <v>0.76</v>
      </c>
      <c r="E6" s="996">
        <v>0.76</v>
      </c>
      <c r="F6" s="996">
        <v>0.76</v>
      </c>
      <c r="G6" s="994" t="s">
        <v>656</v>
      </c>
      <c r="H6" s="994"/>
    </row>
    <row r="7" spans="1:8" ht="40.5" customHeight="1">
      <c r="A7" s="994" t="s">
        <v>659</v>
      </c>
      <c r="B7" s="996">
        <v>930</v>
      </c>
      <c r="C7" s="996">
        <v>200</v>
      </c>
      <c r="D7" s="996">
        <v>200</v>
      </c>
      <c r="E7" s="996">
        <v>200</v>
      </c>
      <c r="F7" s="996">
        <v>200</v>
      </c>
      <c r="G7" s="994" t="s">
        <v>660</v>
      </c>
      <c r="H7" s="994" t="s">
        <v>657</v>
      </c>
    </row>
    <row r="8" spans="1:8" ht="39.75" customHeight="1">
      <c r="A8" s="994" t="s">
        <v>661</v>
      </c>
      <c r="B8" s="996">
        <v>49.79</v>
      </c>
      <c r="C8" s="996">
        <v>50.24</v>
      </c>
      <c r="D8" s="996">
        <v>50.28</v>
      </c>
      <c r="E8" s="996">
        <v>57.6</v>
      </c>
      <c r="F8" s="996">
        <v>57.6</v>
      </c>
      <c r="G8" s="994" t="s">
        <v>662</v>
      </c>
      <c r="H8" s="994"/>
    </row>
    <row r="9" spans="1:8" ht="35.25" customHeight="1">
      <c r="A9" s="994" t="s">
        <v>663</v>
      </c>
      <c r="B9" s="997">
        <v>4226</v>
      </c>
      <c r="C9" s="997">
        <v>4549</v>
      </c>
      <c r="D9" s="997">
        <v>4888</v>
      </c>
      <c r="E9" s="997">
        <v>5108</v>
      </c>
      <c r="F9" s="997">
        <v>5336</v>
      </c>
      <c r="G9" s="994" t="s">
        <v>664</v>
      </c>
      <c r="H9" s="994" t="s">
        <v>658</v>
      </c>
    </row>
    <row r="10" spans="1:8" ht="38.25">
      <c r="A10" s="994" t="s">
        <v>785</v>
      </c>
      <c r="B10" s="996">
        <v>35.24</v>
      </c>
      <c r="C10" s="996">
        <v>34.38</v>
      </c>
      <c r="D10" s="996">
        <v>33.3</v>
      </c>
      <c r="E10" s="996">
        <v>33.3</v>
      </c>
      <c r="F10" s="996">
        <v>33.3</v>
      </c>
      <c r="G10" s="994" t="s">
        <v>665</v>
      </c>
      <c r="H10" s="998"/>
    </row>
    <row r="11" spans="1:8" ht="31.5" customHeight="1">
      <c r="A11" s="994" t="s">
        <v>666</v>
      </c>
      <c r="B11" s="996">
        <v>11.46</v>
      </c>
      <c r="C11" s="996">
        <v>17.17</v>
      </c>
      <c r="D11" s="996">
        <v>19.16</v>
      </c>
      <c r="E11" s="996">
        <v>19.16</v>
      </c>
      <c r="F11" s="996">
        <v>19.16</v>
      </c>
      <c r="G11" s="994" t="s">
        <v>665</v>
      </c>
      <c r="H11" s="998"/>
    </row>
    <row r="13" spans="1:8" ht="12.75">
      <c r="A13" s="1684" t="s">
        <v>667</v>
      </c>
      <c r="B13" s="1684"/>
      <c r="C13" s="1684"/>
      <c r="D13" s="1684"/>
      <c r="E13" s="1684"/>
      <c r="F13" s="1684"/>
      <c r="G13" s="1684"/>
      <c r="H13" s="1684"/>
    </row>
    <row r="14" spans="1:8" ht="12.75">
      <c r="A14" s="1685" t="s">
        <v>668</v>
      </c>
      <c r="B14" s="1685"/>
      <c r="C14" s="1685"/>
      <c r="D14" s="1685"/>
      <c r="E14" s="1685"/>
      <c r="F14" s="1685"/>
      <c r="G14" s="1685"/>
      <c r="H14" s="1685"/>
    </row>
    <row r="15" spans="1:8" ht="12.75">
      <c r="A15" s="1686" t="s">
        <v>669</v>
      </c>
      <c r="B15" s="1686"/>
      <c r="C15" s="1686"/>
      <c r="D15" s="1686"/>
      <c r="E15" s="1686"/>
      <c r="F15" s="1686"/>
      <c r="G15" s="1686"/>
      <c r="H15" s="1686"/>
    </row>
    <row r="16" spans="1:8" ht="54.75" customHeight="1">
      <c r="A16" s="1000" t="s">
        <v>1112</v>
      </c>
      <c r="B16" s="1001">
        <v>0</v>
      </c>
      <c r="C16" s="1001" t="s">
        <v>670</v>
      </c>
      <c r="D16" s="1001" t="s">
        <v>671</v>
      </c>
      <c r="E16" s="1001" t="s">
        <v>672</v>
      </c>
      <c r="F16" s="1001" t="s">
        <v>673</v>
      </c>
      <c r="G16" s="1001" t="s">
        <v>674</v>
      </c>
      <c r="H16" s="994"/>
    </row>
    <row r="17" spans="1:8" ht="12.75">
      <c r="A17" s="1686" t="s">
        <v>648</v>
      </c>
      <c r="B17" s="1686"/>
      <c r="C17" s="1686"/>
      <c r="D17" s="1686"/>
      <c r="E17" s="1686"/>
      <c r="F17" s="1686"/>
      <c r="G17" s="1686"/>
      <c r="H17" s="1686"/>
    </row>
    <row r="18" spans="1:8" ht="45.75" customHeight="1">
      <c r="A18" s="1000" t="s">
        <v>1080</v>
      </c>
      <c r="B18" s="1001">
        <v>0</v>
      </c>
      <c r="C18" s="1001"/>
      <c r="D18" s="1001"/>
      <c r="E18" s="1001" t="s">
        <v>675</v>
      </c>
      <c r="F18" s="1001" t="s">
        <v>676</v>
      </c>
      <c r="G18" s="1001" t="s">
        <v>676</v>
      </c>
      <c r="H18" s="994"/>
    </row>
    <row r="19" spans="1:8" ht="12.75">
      <c r="A19" s="1684" t="s">
        <v>677</v>
      </c>
      <c r="B19" s="1684"/>
      <c r="C19" s="1684"/>
      <c r="D19" s="1684"/>
      <c r="E19" s="1684"/>
      <c r="F19" s="1684"/>
      <c r="G19" s="1684"/>
      <c r="H19" s="1684"/>
    </row>
    <row r="20" spans="1:8" ht="12.75">
      <c r="A20" s="1685" t="s">
        <v>678</v>
      </c>
      <c r="B20" s="1685"/>
      <c r="C20" s="1685"/>
      <c r="D20" s="1685"/>
      <c r="E20" s="1685"/>
      <c r="F20" s="1685"/>
      <c r="G20" s="1685"/>
      <c r="H20" s="1685"/>
    </row>
    <row r="21" spans="1:8" ht="12.75">
      <c r="A21" s="1686" t="s">
        <v>669</v>
      </c>
      <c r="B21" s="1686"/>
      <c r="C21" s="1686"/>
      <c r="D21" s="1686"/>
      <c r="E21" s="1686"/>
      <c r="F21" s="1686"/>
      <c r="G21" s="1686"/>
      <c r="H21" s="1686"/>
    </row>
    <row r="22" spans="1:8" ht="67.5" customHeight="1">
      <c r="A22" s="1000" t="s">
        <v>1081</v>
      </c>
      <c r="B22" s="996" t="s">
        <v>679</v>
      </c>
      <c r="C22" s="996" t="s">
        <v>680</v>
      </c>
      <c r="D22" s="996" t="s">
        <v>681</v>
      </c>
      <c r="E22" s="996"/>
      <c r="F22" s="996" t="s">
        <v>682</v>
      </c>
      <c r="G22" s="1001" t="s">
        <v>682</v>
      </c>
      <c r="H22" s="994"/>
    </row>
    <row r="23" spans="1:8" ht="57.75" customHeight="1">
      <c r="A23" s="993" t="s">
        <v>1113</v>
      </c>
      <c r="B23" s="996" t="s">
        <v>683</v>
      </c>
      <c r="C23" s="996"/>
      <c r="D23" s="996"/>
      <c r="E23" s="996" t="s">
        <v>684</v>
      </c>
      <c r="F23" s="996" t="s">
        <v>685</v>
      </c>
      <c r="G23" s="996" t="s">
        <v>686</v>
      </c>
      <c r="H23" s="994"/>
    </row>
    <row r="24" spans="1:8" ht="12.75">
      <c r="A24" s="1686" t="s">
        <v>648</v>
      </c>
      <c r="B24" s="1686"/>
      <c r="C24" s="1686"/>
      <c r="D24" s="1686"/>
      <c r="E24" s="1686"/>
      <c r="F24" s="1686"/>
      <c r="G24" s="1686"/>
      <c r="H24" s="1686"/>
    </row>
    <row r="25" spans="1:8" ht="70.5" customHeight="1">
      <c r="A25" s="993" t="s">
        <v>1082</v>
      </c>
      <c r="B25" s="996" t="s">
        <v>687</v>
      </c>
      <c r="C25" s="996"/>
      <c r="D25" s="996"/>
      <c r="E25" s="996" t="s">
        <v>781</v>
      </c>
      <c r="F25" s="996" t="s">
        <v>781</v>
      </c>
      <c r="G25" s="996" t="s">
        <v>688</v>
      </c>
      <c r="H25" s="994"/>
    </row>
    <row r="26" spans="1:8" ht="63.75">
      <c r="A26" s="993" t="s">
        <v>1083</v>
      </c>
      <c r="B26" s="996" t="s">
        <v>782</v>
      </c>
      <c r="C26" s="996"/>
      <c r="D26" s="996"/>
      <c r="E26" s="996" t="s">
        <v>783</v>
      </c>
      <c r="F26" s="996" t="s">
        <v>784</v>
      </c>
      <c r="G26" s="996" t="s">
        <v>689</v>
      </c>
      <c r="H26" s="994"/>
    </row>
    <row r="27" spans="1:8" ht="51">
      <c r="A27" s="993" t="s">
        <v>1084</v>
      </c>
      <c r="B27" s="996" t="s">
        <v>690</v>
      </c>
      <c r="C27" s="996"/>
      <c r="D27" s="996"/>
      <c r="E27" s="996"/>
      <c r="F27" s="996" t="s">
        <v>691</v>
      </c>
      <c r="G27" s="996" t="s">
        <v>692</v>
      </c>
      <c r="H27" s="994"/>
    </row>
    <row r="28" spans="1:8" ht="12.75">
      <c r="A28" s="1685" t="s">
        <v>693</v>
      </c>
      <c r="B28" s="1685"/>
      <c r="C28" s="1685"/>
      <c r="D28" s="1685"/>
      <c r="E28" s="1685"/>
      <c r="F28" s="1685"/>
      <c r="G28" s="1685"/>
      <c r="H28" s="1685"/>
    </row>
    <row r="29" spans="1:8" ht="12.75">
      <c r="A29" s="1686" t="s">
        <v>669</v>
      </c>
      <c r="B29" s="1686"/>
      <c r="C29" s="1686"/>
      <c r="D29" s="1686"/>
      <c r="E29" s="1686"/>
      <c r="F29" s="1686"/>
      <c r="G29" s="1686"/>
      <c r="H29" s="1686"/>
    </row>
    <row r="30" spans="1:8" ht="63.75">
      <c r="A30" s="993" t="s">
        <v>1085</v>
      </c>
      <c r="B30" s="1003" t="s">
        <v>694</v>
      </c>
      <c r="C30" s="996"/>
      <c r="D30" s="996" t="s">
        <v>695</v>
      </c>
      <c r="E30" s="996" t="s">
        <v>696</v>
      </c>
      <c r="F30" s="996" t="s">
        <v>697</v>
      </c>
      <c r="G30" s="996" t="s">
        <v>698</v>
      </c>
      <c r="H30" s="999"/>
    </row>
    <row r="31" spans="1:8" ht="51">
      <c r="A31" s="993" t="s">
        <v>1086</v>
      </c>
      <c r="B31" s="1003" t="s">
        <v>699</v>
      </c>
      <c r="C31" s="996"/>
      <c r="D31" s="996" t="s">
        <v>700</v>
      </c>
      <c r="E31" s="996" t="s">
        <v>701</v>
      </c>
      <c r="F31" s="996" t="s">
        <v>702</v>
      </c>
      <c r="G31" s="996" t="s">
        <v>703</v>
      </c>
      <c r="H31" s="999"/>
    </row>
    <row r="32" spans="1:8" ht="50.25" customHeight="1">
      <c r="A32" s="1686" t="s">
        <v>1087</v>
      </c>
      <c r="B32" s="1693" t="s">
        <v>704</v>
      </c>
      <c r="C32" s="1691"/>
      <c r="D32" s="1691"/>
      <c r="E32" s="1691" t="s">
        <v>705</v>
      </c>
      <c r="F32" s="1691" t="s">
        <v>706</v>
      </c>
      <c r="G32" s="1691" t="s">
        <v>707</v>
      </c>
      <c r="H32" s="1692"/>
    </row>
    <row r="33" spans="1:8" ht="12.75">
      <c r="A33" s="1686"/>
      <c r="B33" s="1693"/>
      <c r="C33" s="1691"/>
      <c r="D33" s="1691"/>
      <c r="E33" s="1691"/>
      <c r="F33" s="1691"/>
      <c r="G33" s="1691"/>
      <c r="H33" s="1692"/>
    </row>
    <row r="34" spans="1:8" ht="51">
      <c r="A34" s="993" t="s">
        <v>1088</v>
      </c>
      <c r="B34" s="1003" t="s">
        <v>708</v>
      </c>
      <c r="C34" s="996"/>
      <c r="D34" s="996"/>
      <c r="E34" s="996" t="s">
        <v>709</v>
      </c>
      <c r="F34" s="996" t="s">
        <v>710</v>
      </c>
      <c r="G34" s="996" t="s">
        <v>711</v>
      </c>
      <c r="H34" s="999"/>
    </row>
    <row r="35" spans="1:8" ht="12.75">
      <c r="A35" s="1686" t="s">
        <v>648</v>
      </c>
      <c r="B35" s="1686"/>
      <c r="C35" s="1686"/>
      <c r="D35" s="1686"/>
      <c r="E35" s="1686"/>
      <c r="F35" s="1686"/>
      <c r="G35" s="1686"/>
      <c r="H35" s="1686"/>
    </row>
    <row r="36" spans="1:8" ht="51">
      <c r="A36" s="993" t="s">
        <v>1089</v>
      </c>
      <c r="B36" s="996" t="s">
        <v>712</v>
      </c>
      <c r="C36" s="996" t="s">
        <v>713</v>
      </c>
      <c r="D36" s="996" t="s">
        <v>714</v>
      </c>
      <c r="E36" s="996" t="s">
        <v>715</v>
      </c>
      <c r="F36" s="996" t="s">
        <v>716</v>
      </c>
      <c r="G36" s="996" t="s">
        <v>717</v>
      </c>
      <c r="H36" s="994"/>
    </row>
    <row r="37" spans="1:8" ht="12.75">
      <c r="A37" s="1684" t="s">
        <v>718</v>
      </c>
      <c r="B37" s="1684"/>
      <c r="C37" s="1684"/>
      <c r="D37" s="1684"/>
      <c r="E37" s="1684"/>
      <c r="F37" s="1684"/>
      <c r="G37" s="1684"/>
      <c r="H37" s="1684"/>
    </row>
    <row r="38" spans="1:8" ht="12.75">
      <c r="A38" s="1685" t="s">
        <v>719</v>
      </c>
      <c r="B38" s="1685"/>
      <c r="C38" s="1685"/>
      <c r="D38" s="1685"/>
      <c r="E38" s="1685"/>
      <c r="F38" s="1685"/>
      <c r="G38" s="1685"/>
      <c r="H38" s="1685"/>
    </row>
    <row r="39" spans="1:8" ht="12.75">
      <c r="A39" s="1686" t="s">
        <v>669</v>
      </c>
      <c r="B39" s="1686"/>
      <c r="C39" s="1686"/>
      <c r="D39" s="1686"/>
      <c r="E39" s="1686"/>
      <c r="F39" s="1686"/>
      <c r="G39" s="1686"/>
      <c r="H39" s="993"/>
    </row>
    <row r="40" spans="1:8" ht="37.5" customHeight="1">
      <c r="A40" s="1686" t="s">
        <v>1090</v>
      </c>
      <c r="B40" s="1691" t="s">
        <v>720</v>
      </c>
      <c r="C40" s="1691"/>
      <c r="D40" s="1691"/>
      <c r="E40" s="1691" t="s">
        <v>721</v>
      </c>
      <c r="F40" s="1691"/>
      <c r="G40" s="1691" t="s">
        <v>722</v>
      </c>
      <c r="H40" s="1690"/>
    </row>
    <row r="41" spans="1:8" ht="12.75">
      <c r="A41" s="1686"/>
      <c r="B41" s="1691"/>
      <c r="C41" s="1691"/>
      <c r="D41" s="1691"/>
      <c r="E41" s="1691"/>
      <c r="F41" s="1691"/>
      <c r="G41" s="1691"/>
      <c r="H41" s="1690"/>
    </row>
    <row r="42" spans="1:8" ht="63.75">
      <c r="A42" s="993" t="s">
        <v>1114</v>
      </c>
      <c r="B42" s="996" t="s">
        <v>723</v>
      </c>
      <c r="C42" s="996"/>
      <c r="D42" s="996"/>
      <c r="E42" s="996" t="s">
        <v>721</v>
      </c>
      <c r="F42" s="996"/>
      <c r="G42" s="996" t="s">
        <v>724</v>
      </c>
      <c r="H42" s="999"/>
    </row>
    <row r="43" spans="1:8" ht="12.75">
      <c r="A43" s="993" t="s">
        <v>648</v>
      </c>
      <c r="B43" s="1690"/>
      <c r="C43" s="1690"/>
      <c r="D43" s="1690"/>
      <c r="E43" s="1690"/>
      <c r="F43" s="1690"/>
      <c r="G43" s="1690"/>
      <c r="H43" s="994"/>
    </row>
    <row r="44" spans="1:8" ht="66.75" customHeight="1">
      <c r="A44" s="993" t="s">
        <v>1091</v>
      </c>
      <c r="B44" s="996" t="s">
        <v>725</v>
      </c>
      <c r="C44" s="996"/>
      <c r="D44" s="996" t="s">
        <v>726</v>
      </c>
      <c r="E44" s="996" t="s">
        <v>786</v>
      </c>
      <c r="F44" s="996" t="s">
        <v>787</v>
      </c>
      <c r="G44" s="996" t="s">
        <v>727</v>
      </c>
      <c r="H44" s="999"/>
    </row>
    <row r="45" spans="1:8" ht="12.75">
      <c r="A45" s="1684" t="s">
        <v>728</v>
      </c>
      <c r="B45" s="1684"/>
      <c r="C45" s="1684"/>
      <c r="D45" s="1684"/>
      <c r="E45" s="1684"/>
      <c r="F45" s="1684"/>
      <c r="G45" s="1684"/>
      <c r="H45" s="1684"/>
    </row>
    <row r="46" spans="1:8" ht="12.75">
      <c r="A46" s="1685" t="s">
        <v>729</v>
      </c>
      <c r="B46" s="1685"/>
      <c r="C46" s="1685"/>
      <c r="D46" s="1685"/>
      <c r="E46" s="1685"/>
      <c r="F46" s="1685"/>
      <c r="G46" s="1685"/>
      <c r="H46" s="1685"/>
    </row>
    <row r="47" spans="1:8" ht="12.75">
      <c r="A47" s="1686" t="s">
        <v>669</v>
      </c>
      <c r="B47" s="1686"/>
      <c r="C47" s="1686"/>
      <c r="D47" s="1686"/>
      <c r="E47" s="1686"/>
      <c r="F47" s="1686"/>
      <c r="G47" s="1686"/>
      <c r="H47" s="1686"/>
    </row>
    <row r="48" spans="1:8" ht="51">
      <c r="A48" s="993" t="s">
        <v>1092</v>
      </c>
      <c r="B48" s="996" t="s">
        <v>730</v>
      </c>
      <c r="C48" s="996"/>
      <c r="D48" s="996"/>
      <c r="E48" s="996" t="s">
        <v>731</v>
      </c>
      <c r="F48" s="996"/>
      <c r="G48" s="996" t="s">
        <v>732</v>
      </c>
      <c r="H48" s="994"/>
    </row>
    <row r="49" spans="1:8" ht="12.75">
      <c r="A49" s="1686" t="s">
        <v>648</v>
      </c>
      <c r="B49" s="1686"/>
      <c r="C49" s="1686"/>
      <c r="D49" s="1686"/>
      <c r="E49" s="1686"/>
      <c r="F49" s="1686"/>
      <c r="G49" s="1686"/>
      <c r="H49" s="1686"/>
    </row>
    <row r="50" spans="1:8" ht="24.75" customHeight="1">
      <c r="A50" s="1686" t="s">
        <v>1093</v>
      </c>
      <c r="B50" s="1691" t="s">
        <v>733</v>
      </c>
      <c r="C50" s="1691" t="s">
        <v>734</v>
      </c>
      <c r="D50" s="1691"/>
      <c r="E50" s="1691"/>
      <c r="F50" s="1691" t="s">
        <v>735</v>
      </c>
      <c r="G50" s="1691" t="s">
        <v>736</v>
      </c>
      <c r="H50" s="1690"/>
    </row>
    <row r="51" spans="1:8" ht="12.75">
      <c r="A51" s="1686"/>
      <c r="B51" s="1691"/>
      <c r="C51" s="1691"/>
      <c r="D51" s="1691"/>
      <c r="E51" s="1691"/>
      <c r="F51" s="1691"/>
      <c r="G51" s="1691"/>
      <c r="H51" s="1690"/>
    </row>
    <row r="52" spans="1:8" ht="12.75">
      <c r="A52" s="1686"/>
      <c r="B52" s="1691"/>
      <c r="C52" s="1691"/>
      <c r="D52" s="1691"/>
      <c r="E52" s="1691"/>
      <c r="F52" s="1691"/>
      <c r="G52" s="1691"/>
      <c r="H52" s="1690"/>
    </row>
    <row r="53" spans="1:8" ht="12.75">
      <c r="A53" s="1686"/>
      <c r="B53" s="1691"/>
      <c r="C53" s="1691"/>
      <c r="D53" s="1691"/>
      <c r="E53" s="1691"/>
      <c r="F53" s="1691"/>
      <c r="G53" s="1691"/>
      <c r="H53" s="1690"/>
    </row>
    <row r="54" spans="1:8" ht="12.75">
      <c r="A54" s="1685" t="s">
        <v>737</v>
      </c>
      <c r="B54" s="1685"/>
      <c r="C54" s="1685"/>
      <c r="D54" s="1685"/>
      <c r="E54" s="1685"/>
      <c r="F54" s="1685"/>
      <c r="G54" s="1685"/>
      <c r="H54" s="1685"/>
    </row>
    <row r="55" spans="1:8" ht="12.75">
      <c r="A55" s="1686" t="s">
        <v>669</v>
      </c>
      <c r="B55" s="1686"/>
      <c r="C55" s="1686"/>
      <c r="D55" s="1686"/>
      <c r="E55" s="1686"/>
      <c r="F55" s="1686"/>
      <c r="G55" s="1686"/>
      <c r="H55" s="1686"/>
    </row>
    <row r="56" spans="1:8" ht="63.75">
      <c r="A56" s="993" t="s">
        <v>1094</v>
      </c>
      <c r="B56" s="996" t="s">
        <v>738</v>
      </c>
      <c r="C56" s="996"/>
      <c r="D56" s="996"/>
      <c r="E56" s="996" t="s">
        <v>739</v>
      </c>
      <c r="F56" s="996"/>
      <c r="G56" s="996" t="s">
        <v>740</v>
      </c>
      <c r="H56" s="994"/>
    </row>
    <row r="57" spans="1:8" ht="51">
      <c r="A57" s="993" t="s">
        <v>1095</v>
      </c>
      <c r="B57" s="996" t="s">
        <v>741</v>
      </c>
      <c r="C57" s="996"/>
      <c r="D57" s="996"/>
      <c r="E57" s="996" t="s">
        <v>742</v>
      </c>
      <c r="F57" s="996"/>
      <c r="G57" s="996" t="s">
        <v>743</v>
      </c>
      <c r="H57" s="994"/>
    </row>
    <row r="58" spans="1:8" ht="63" customHeight="1">
      <c r="A58" s="1686" t="s">
        <v>1096</v>
      </c>
      <c r="B58" s="1691" t="s">
        <v>744</v>
      </c>
      <c r="C58" s="1691"/>
      <c r="D58" s="1691"/>
      <c r="E58" s="1691" t="s">
        <v>745</v>
      </c>
      <c r="F58" s="1691" t="s">
        <v>746</v>
      </c>
      <c r="G58" s="1691" t="s">
        <v>747</v>
      </c>
      <c r="H58" s="1690"/>
    </row>
    <row r="59" spans="1:8" ht="12.75">
      <c r="A59" s="1686"/>
      <c r="B59" s="1691"/>
      <c r="C59" s="1691"/>
      <c r="D59" s="1691"/>
      <c r="E59" s="1691"/>
      <c r="F59" s="1691"/>
      <c r="G59" s="1691"/>
      <c r="H59" s="1690"/>
    </row>
    <row r="60" spans="1:8" ht="63.75">
      <c r="A60" s="993" t="s">
        <v>1097</v>
      </c>
      <c r="B60" s="996" t="s">
        <v>748</v>
      </c>
      <c r="C60" s="996"/>
      <c r="D60" s="996"/>
      <c r="E60" s="996" t="s">
        <v>749</v>
      </c>
      <c r="F60" s="996"/>
      <c r="G60" s="996" t="s">
        <v>749</v>
      </c>
      <c r="H60" s="994"/>
    </row>
    <row r="61" spans="1:8" ht="12.75">
      <c r="A61" s="1686" t="s">
        <v>648</v>
      </c>
      <c r="B61" s="1686"/>
      <c r="C61" s="1686"/>
      <c r="D61" s="1686"/>
      <c r="E61" s="1686"/>
      <c r="F61" s="1686"/>
      <c r="G61" s="1686"/>
      <c r="H61" s="1686"/>
    </row>
    <row r="62" spans="1:8" ht="63.75">
      <c r="A62" s="993" t="s">
        <v>1098</v>
      </c>
      <c r="B62" s="996" t="s">
        <v>750</v>
      </c>
      <c r="C62" s="996"/>
      <c r="D62" s="996" t="s">
        <v>751</v>
      </c>
      <c r="E62" s="996" t="s">
        <v>752</v>
      </c>
      <c r="F62" s="996" t="s">
        <v>753</v>
      </c>
      <c r="G62" s="996" t="s">
        <v>754</v>
      </c>
      <c r="H62" s="994"/>
    </row>
    <row r="63" spans="1:8" ht="12.75">
      <c r="A63" s="1685" t="s">
        <v>755</v>
      </c>
      <c r="B63" s="1685"/>
      <c r="C63" s="1685"/>
      <c r="D63" s="1685"/>
      <c r="E63" s="1685"/>
      <c r="F63" s="1685"/>
      <c r="G63" s="1685"/>
      <c r="H63" s="1685"/>
    </row>
    <row r="64" spans="1:8" ht="12.75">
      <c r="A64" s="1686" t="s">
        <v>669</v>
      </c>
      <c r="B64" s="1686"/>
      <c r="C64" s="1686"/>
      <c r="D64" s="1686"/>
      <c r="E64" s="1686"/>
      <c r="F64" s="1686"/>
      <c r="G64" s="1686"/>
      <c r="H64" s="1686"/>
    </row>
    <row r="65" spans="1:8" ht="51">
      <c r="A65" s="993" t="s">
        <v>1099</v>
      </c>
      <c r="B65" s="996" t="s">
        <v>756</v>
      </c>
      <c r="C65" s="996"/>
      <c r="D65" s="996"/>
      <c r="E65" s="996" t="s">
        <v>757</v>
      </c>
      <c r="F65" s="996"/>
      <c r="G65" s="996" t="s">
        <v>758</v>
      </c>
      <c r="H65" s="994"/>
    </row>
    <row r="66" spans="1:8" ht="102">
      <c r="A66" s="993" t="s">
        <v>1100</v>
      </c>
      <c r="B66" s="996" t="s">
        <v>759</v>
      </c>
      <c r="C66" s="996"/>
      <c r="D66" s="996"/>
      <c r="E66" s="996" t="s">
        <v>760</v>
      </c>
      <c r="F66" s="996"/>
      <c r="G66" s="996" t="s">
        <v>761</v>
      </c>
      <c r="H66" s="994"/>
    </row>
    <row r="67" spans="1:8" ht="38.25">
      <c r="A67" s="993" t="s">
        <v>1101</v>
      </c>
      <c r="B67" s="996" t="s">
        <v>762</v>
      </c>
      <c r="C67" s="996"/>
      <c r="D67" s="996"/>
      <c r="E67" s="996" t="s">
        <v>763</v>
      </c>
      <c r="F67" s="996" t="s">
        <v>764</v>
      </c>
      <c r="G67" s="996" t="s">
        <v>765</v>
      </c>
      <c r="H67" s="994"/>
    </row>
    <row r="68" spans="1:8" ht="12.75">
      <c r="A68" s="1686" t="s">
        <v>648</v>
      </c>
      <c r="B68" s="1686"/>
      <c r="C68" s="1686"/>
      <c r="D68" s="1686"/>
      <c r="E68" s="1686"/>
      <c r="F68" s="1686"/>
      <c r="G68" s="1686"/>
      <c r="H68" s="1686"/>
    </row>
    <row r="69" spans="1:8" ht="63.75">
      <c r="A69" s="993" t="s">
        <v>1115</v>
      </c>
      <c r="B69" s="996" t="s">
        <v>766</v>
      </c>
      <c r="C69" s="996"/>
      <c r="D69" s="996"/>
      <c r="E69" s="996"/>
      <c r="F69" s="996" t="s">
        <v>767</v>
      </c>
      <c r="G69" s="996" t="s">
        <v>767</v>
      </c>
      <c r="H69" s="994"/>
    </row>
    <row r="70" spans="1:8" ht="12.75">
      <c r="A70" s="1685" t="s">
        <v>768</v>
      </c>
      <c r="B70" s="1685"/>
      <c r="C70" s="1685"/>
      <c r="D70" s="1685"/>
      <c r="E70" s="1685"/>
      <c r="F70" s="1685"/>
      <c r="G70" s="1685"/>
      <c r="H70" s="1685"/>
    </row>
    <row r="71" spans="1:8" ht="12.75">
      <c r="A71" s="1686" t="s">
        <v>669</v>
      </c>
      <c r="B71" s="1686"/>
      <c r="C71" s="1686"/>
      <c r="D71" s="1686"/>
      <c r="E71" s="1686"/>
      <c r="F71" s="1686"/>
      <c r="G71" s="1686"/>
      <c r="H71" s="1686"/>
    </row>
    <row r="72" spans="1:8" ht="51">
      <c r="A72" s="993" t="s">
        <v>1102</v>
      </c>
      <c r="B72" s="996" t="s">
        <v>769</v>
      </c>
      <c r="C72" s="996"/>
      <c r="D72" s="996"/>
      <c r="E72" s="996" t="s">
        <v>770</v>
      </c>
      <c r="F72" s="1004" t="s">
        <v>1103</v>
      </c>
      <c r="G72" s="996" t="s">
        <v>771</v>
      </c>
      <c r="H72" s="994"/>
    </row>
    <row r="73" spans="1:8" ht="51">
      <c r="A73" s="993" t="s">
        <v>1104</v>
      </c>
      <c r="B73" s="996" t="s">
        <v>772</v>
      </c>
      <c r="C73" s="996"/>
      <c r="D73" s="996" t="s">
        <v>773</v>
      </c>
      <c r="E73" s="996" t="s">
        <v>774</v>
      </c>
      <c r="F73" s="996" t="s">
        <v>775</v>
      </c>
      <c r="G73" s="996" t="s">
        <v>776</v>
      </c>
      <c r="H73" s="994"/>
    </row>
    <row r="74" spans="1:8" ht="12.75">
      <c r="A74" s="1686" t="s">
        <v>648</v>
      </c>
      <c r="B74" s="1686"/>
      <c r="C74" s="1686"/>
      <c r="D74" s="1686"/>
      <c r="E74" s="1686"/>
      <c r="F74" s="1686"/>
      <c r="G74" s="1686"/>
      <c r="H74" s="1686"/>
    </row>
    <row r="75" spans="1:8" ht="51">
      <c r="A75" s="993" t="s">
        <v>1105</v>
      </c>
      <c r="B75" s="996" t="s">
        <v>777</v>
      </c>
      <c r="C75" s="996"/>
      <c r="D75" s="996"/>
      <c r="E75" s="996" t="s">
        <v>778</v>
      </c>
      <c r="F75" s="996" t="s">
        <v>779</v>
      </c>
      <c r="G75" s="996" t="s">
        <v>780</v>
      </c>
      <c r="H75" s="994"/>
    </row>
  </sheetData>
  <sheetProtection/>
  <mergeCells count="63">
    <mergeCell ref="A70:H70"/>
    <mergeCell ref="A71:H71"/>
    <mergeCell ref="A74:H74"/>
    <mergeCell ref="G58:G59"/>
    <mergeCell ref="H58:H59"/>
    <mergeCell ref="A61:H61"/>
    <mergeCell ref="A63:H63"/>
    <mergeCell ref="A64:H64"/>
    <mergeCell ref="A68:H68"/>
    <mergeCell ref="G50:G53"/>
    <mergeCell ref="H50:H53"/>
    <mergeCell ref="A54:H54"/>
    <mergeCell ref="A55:H55"/>
    <mergeCell ref="A58:A59"/>
    <mergeCell ref="B58:B59"/>
    <mergeCell ref="C58:C59"/>
    <mergeCell ref="D58:D59"/>
    <mergeCell ref="E58:E59"/>
    <mergeCell ref="F58:F59"/>
    <mergeCell ref="A45:H45"/>
    <mergeCell ref="A46:H46"/>
    <mergeCell ref="A47:H47"/>
    <mergeCell ref="A49:H49"/>
    <mergeCell ref="A50:A53"/>
    <mergeCell ref="B50:B53"/>
    <mergeCell ref="C50:C53"/>
    <mergeCell ref="D50:D53"/>
    <mergeCell ref="E50:E53"/>
    <mergeCell ref="F50:F53"/>
    <mergeCell ref="G40:G41"/>
    <mergeCell ref="H40:H41"/>
    <mergeCell ref="B43:G43"/>
    <mergeCell ref="A35:H35"/>
    <mergeCell ref="A37:H37"/>
    <mergeCell ref="A38:H38"/>
    <mergeCell ref="A39:G39"/>
    <mergeCell ref="A40:A41"/>
    <mergeCell ref="B40:B41"/>
    <mergeCell ref="C40:C41"/>
    <mergeCell ref="D40:D41"/>
    <mergeCell ref="E40:E41"/>
    <mergeCell ref="F40:F41"/>
    <mergeCell ref="A29:H29"/>
    <mergeCell ref="A32:A33"/>
    <mergeCell ref="B32:B33"/>
    <mergeCell ref="C32:C33"/>
    <mergeCell ref="D32:D33"/>
    <mergeCell ref="E32:E33"/>
    <mergeCell ref="F32:F33"/>
    <mergeCell ref="G32:G33"/>
    <mergeCell ref="H32:H33"/>
    <mergeCell ref="A28:H28"/>
    <mergeCell ref="A17:H17"/>
    <mergeCell ref="A19:H19"/>
    <mergeCell ref="A20:H20"/>
    <mergeCell ref="A21:H21"/>
    <mergeCell ref="A24:H24"/>
    <mergeCell ref="A13:H13"/>
    <mergeCell ref="A14:H14"/>
    <mergeCell ref="A15:H15"/>
    <mergeCell ref="A2:H2"/>
    <mergeCell ref="A3:A4"/>
    <mergeCell ref="B3:H4"/>
  </mergeCell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8:I49"/>
  <sheetViews>
    <sheetView showGridLines="0" zoomScalePageLayoutView="0" workbookViewId="0" topLeftCell="A10">
      <selection activeCell="C20" sqref="C20"/>
    </sheetView>
  </sheetViews>
  <sheetFormatPr defaultColWidth="9.140625" defaultRowHeight="12.75"/>
  <cols>
    <col min="1" max="1" width="14.7109375" style="19" customWidth="1"/>
    <col min="2" max="2" width="10.00390625" style="10" bestFit="1" customWidth="1"/>
    <col min="3" max="3" width="70.421875" style="19" customWidth="1"/>
    <col min="4" max="4" width="7.8515625" style="10" customWidth="1"/>
    <col min="5" max="7" width="9.140625" style="19" customWidth="1"/>
    <col min="8" max="8" width="14.57421875" style="19" hidden="1" customWidth="1"/>
    <col min="9" max="16384" width="9.140625" style="19" customWidth="1"/>
  </cols>
  <sheetData>
    <row r="8" spans="2:9" ht="15">
      <c r="B8" s="1291"/>
      <c r="C8" s="1291"/>
      <c r="D8" s="1291"/>
      <c r="E8" s="20"/>
      <c r="F8" s="20"/>
      <c r="G8" s="20"/>
      <c r="H8" s="20"/>
      <c r="I8" s="20"/>
    </row>
    <row r="9" spans="2:9" ht="15">
      <c r="B9" s="21"/>
      <c r="C9" s="20"/>
      <c r="D9" s="22"/>
      <c r="E9" s="20"/>
      <c r="F9" s="20"/>
      <c r="G9" s="20"/>
      <c r="H9" s="20"/>
      <c r="I9" s="20"/>
    </row>
    <row r="10" spans="2:9" s="103" customFormat="1" ht="15.75">
      <c r="B10" s="6" t="s">
        <v>598</v>
      </c>
      <c r="C10" s="7" t="s">
        <v>36</v>
      </c>
      <c r="D10" s="8"/>
      <c r="E10" s="11"/>
      <c r="F10" s="11"/>
      <c r="G10" s="11"/>
      <c r="H10" s="11"/>
      <c r="I10" s="11"/>
    </row>
    <row r="11" spans="2:9" ht="15">
      <c r="B11" s="23"/>
      <c r="C11" s="24" t="s">
        <v>37</v>
      </c>
      <c r="D11" s="25"/>
      <c r="E11" s="20"/>
      <c r="F11" s="20"/>
      <c r="G11" s="20"/>
      <c r="H11" s="20"/>
      <c r="I11" s="20"/>
    </row>
    <row r="12" spans="2:9" ht="15">
      <c r="B12" s="23"/>
      <c r="C12" s="24" t="s">
        <v>35</v>
      </c>
      <c r="D12" s="25"/>
      <c r="E12" s="20"/>
      <c r="F12" s="20"/>
      <c r="G12" s="20"/>
      <c r="H12" s="20"/>
      <c r="I12" s="20"/>
    </row>
    <row r="13" spans="2:9" ht="15">
      <c r="B13" s="26">
        <v>1</v>
      </c>
      <c r="C13" s="27" t="s">
        <v>599</v>
      </c>
      <c r="D13" s="25"/>
      <c r="E13" s="20"/>
      <c r="F13" s="20"/>
      <c r="G13" s="20"/>
      <c r="H13" s="20"/>
      <c r="I13" s="20"/>
    </row>
    <row r="14" spans="2:9" ht="15">
      <c r="B14" s="26">
        <v>2</v>
      </c>
      <c r="C14" s="28" t="s">
        <v>98</v>
      </c>
      <c r="D14" s="29"/>
      <c r="E14" s="20"/>
      <c r="F14" s="20"/>
      <c r="G14" s="20"/>
      <c r="H14" s="20"/>
      <c r="I14" s="20"/>
    </row>
    <row r="15" spans="2:9" ht="15">
      <c r="B15" s="26">
        <v>3</v>
      </c>
      <c r="C15" s="27" t="s">
        <v>99</v>
      </c>
      <c r="D15" s="29"/>
      <c r="E15" s="20"/>
      <c r="F15" s="20"/>
      <c r="G15" s="20"/>
      <c r="H15" s="20"/>
      <c r="I15" s="20"/>
    </row>
    <row r="16" spans="2:9" ht="15">
      <c r="B16" s="26">
        <v>4</v>
      </c>
      <c r="C16" s="1136" t="s">
        <v>217</v>
      </c>
      <c r="D16" s="25"/>
      <c r="E16" s="20"/>
      <c r="F16" s="20"/>
      <c r="G16" s="20"/>
      <c r="H16" s="20"/>
      <c r="I16" s="20"/>
    </row>
    <row r="17" spans="2:9" ht="15">
      <c r="B17" s="26">
        <v>5</v>
      </c>
      <c r="C17" s="1137" t="s">
        <v>94</v>
      </c>
      <c r="D17" s="25"/>
      <c r="E17" s="20"/>
      <c r="F17" s="20"/>
      <c r="G17" s="20"/>
      <c r="H17" s="20"/>
      <c r="I17" s="20"/>
    </row>
    <row r="18" spans="2:9" ht="15">
      <c r="B18" s="26">
        <v>6</v>
      </c>
      <c r="C18" s="27" t="s">
        <v>201</v>
      </c>
      <c r="D18" s="25"/>
      <c r="E18" s="20"/>
      <c r="F18" s="20"/>
      <c r="G18" s="20"/>
      <c r="H18" s="20"/>
      <c r="I18" s="20"/>
    </row>
    <row r="19" spans="2:9" ht="15">
      <c r="B19" s="26">
        <v>7</v>
      </c>
      <c r="C19" s="1136" t="s">
        <v>202</v>
      </c>
      <c r="D19" s="25"/>
      <c r="E19" s="20"/>
      <c r="F19" s="20"/>
      <c r="G19" s="20"/>
      <c r="H19" s="20"/>
      <c r="I19" s="20"/>
    </row>
    <row r="20" spans="2:9" ht="15">
      <c r="B20" s="26">
        <v>8</v>
      </c>
      <c r="C20" s="1137" t="s">
        <v>559</v>
      </c>
      <c r="D20" s="25"/>
      <c r="E20" s="20"/>
      <c r="F20" s="20"/>
      <c r="G20" s="20"/>
      <c r="H20" s="20"/>
      <c r="I20" s="20"/>
    </row>
    <row r="21" spans="2:9" ht="15">
      <c r="B21" s="26">
        <v>9</v>
      </c>
      <c r="C21" s="28" t="s">
        <v>77</v>
      </c>
      <c r="D21" s="25"/>
      <c r="E21" s="20"/>
      <c r="F21" s="20"/>
      <c r="G21" s="20"/>
      <c r="H21" s="20"/>
      <c r="I21" s="20"/>
    </row>
    <row r="22" spans="2:9" ht="15">
      <c r="B22" s="26">
        <v>10</v>
      </c>
      <c r="C22" s="28" t="s">
        <v>79</v>
      </c>
      <c r="D22" s="25"/>
      <c r="E22" s="20"/>
      <c r="F22" s="20"/>
      <c r="G22" s="20"/>
      <c r="H22" s="20"/>
      <c r="I22" s="20"/>
    </row>
    <row r="23" spans="2:9" ht="15">
      <c r="B23" s="26">
        <v>11</v>
      </c>
      <c r="C23" s="28" t="s">
        <v>84</v>
      </c>
      <c r="D23" s="25"/>
      <c r="E23" s="20"/>
      <c r="F23" s="20"/>
      <c r="G23" s="20"/>
      <c r="H23" s="20"/>
      <c r="I23" s="20"/>
    </row>
    <row r="24" spans="2:9" ht="15">
      <c r="B24" s="26">
        <v>12</v>
      </c>
      <c r="C24" s="28" t="s">
        <v>85</v>
      </c>
      <c r="D24" s="25"/>
      <c r="E24" s="20"/>
      <c r="F24" s="20"/>
      <c r="G24" s="20"/>
      <c r="H24" s="20"/>
      <c r="I24" s="20"/>
    </row>
    <row r="25" spans="2:9" ht="15">
      <c r="B25" s="26">
        <v>13</v>
      </c>
      <c r="C25" s="28" t="s">
        <v>606</v>
      </c>
      <c r="D25" s="25"/>
      <c r="E25" s="30"/>
      <c r="F25" s="30"/>
      <c r="G25" s="30"/>
      <c r="H25" s="20"/>
      <c r="I25" s="20"/>
    </row>
    <row r="26" spans="2:9" ht="15">
      <c r="B26" s="26"/>
      <c r="C26" s="979" t="s">
        <v>890</v>
      </c>
      <c r="D26" s="25"/>
      <c r="E26" s="30"/>
      <c r="F26" s="30"/>
      <c r="G26" s="30"/>
      <c r="H26" s="20"/>
      <c r="I26" s="20"/>
    </row>
    <row r="27" spans="2:9" ht="15">
      <c r="B27" s="26">
        <v>14</v>
      </c>
      <c r="C27" s="939" t="s">
        <v>1073</v>
      </c>
      <c r="D27" s="25"/>
      <c r="E27" s="30"/>
      <c r="F27" s="30"/>
      <c r="G27" s="30"/>
      <c r="H27" s="20"/>
      <c r="I27" s="20"/>
    </row>
    <row r="28" spans="2:9" ht="15">
      <c r="B28" s="26">
        <v>15</v>
      </c>
      <c r="C28" s="939" t="s">
        <v>1074</v>
      </c>
      <c r="D28" s="25"/>
      <c r="E28" s="30"/>
      <c r="F28" s="30"/>
      <c r="G28" s="30"/>
      <c r="H28" s="20"/>
      <c r="I28" s="20"/>
    </row>
    <row r="29" spans="2:9" ht="15">
      <c r="B29" s="26">
        <v>16</v>
      </c>
      <c r="C29" s="939" t="s">
        <v>1075</v>
      </c>
      <c r="D29" s="25"/>
      <c r="E29" s="30"/>
      <c r="F29" s="30"/>
      <c r="G29" s="30"/>
      <c r="H29" s="20"/>
      <c r="I29" s="20"/>
    </row>
    <row r="30" spans="2:9" ht="15">
      <c r="B30" s="26">
        <v>17</v>
      </c>
      <c r="C30" s="939" t="s">
        <v>1076</v>
      </c>
      <c r="D30" s="25"/>
      <c r="E30" s="30"/>
      <c r="F30" s="30"/>
      <c r="G30" s="30"/>
      <c r="H30" s="20"/>
      <c r="I30" s="20"/>
    </row>
    <row r="31" spans="2:9" ht="15">
      <c r="B31" s="26">
        <v>18</v>
      </c>
      <c r="C31" s="1138" t="s">
        <v>1077</v>
      </c>
      <c r="D31" s="25"/>
      <c r="E31" s="30"/>
      <c r="F31" s="30"/>
      <c r="G31" s="30"/>
      <c r="H31" s="20"/>
      <c r="I31" s="20"/>
    </row>
    <row r="32" spans="2:9" ht="15">
      <c r="B32" s="26">
        <v>19</v>
      </c>
      <c r="C32" s="1138" t="s">
        <v>1078</v>
      </c>
      <c r="D32" s="25"/>
      <c r="E32" s="30"/>
      <c r="F32" s="30"/>
      <c r="G32" s="30"/>
      <c r="H32" s="20"/>
      <c r="I32" s="20"/>
    </row>
    <row r="33" spans="2:9" ht="15">
      <c r="B33" s="27"/>
      <c r="C33" s="206" t="s">
        <v>213</v>
      </c>
      <c r="D33" s="31"/>
      <c r="E33" s="30"/>
      <c r="F33" s="30"/>
      <c r="G33" s="30"/>
      <c r="H33" s="20"/>
      <c r="I33" s="20"/>
    </row>
    <row r="34" spans="2:9" ht="15">
      <c r="B34" s="26"/>
      <c r="C34" s="205" t="s">
        <v>214</v>
      </c>
      <c r="D34" s="21"/>
      <c r="E34" s="20"/>
      <c r="F34" s="20"/>
      <c r="G34" s="20"/>
      <c r="H34" s="20"/>
      <c r="I34" s="20"/>
    </row>
    <row r="35" spans="2:9" ht="15">
      <c r="B35" s="26"/>
      <c r="C35" s="27" t="s">
        <v>215</v>
      </c>
      <c r="D35" s="21"/>
      <c r="E35" s="20"/>
      <c r="F35" s="20"/>
      <c r="G35" s="20"/>
      <c r="H35" s="20"/>
      <c r="I35" s="20"/>
    </row>
    <row r="36" spans="2:9" ht="15">
      <c r="B36" s="26"/>
      <c r="C36" s="27" t="s">
        <v>216</v>
      </c>
      <c r="D36" s="21"/>
      <c r="E36" s="20"/>
      <c r="F36" s="20"/>
      <c r="G36" s="20"/>
      <c r="H36" s="20"/>
      <c r="I36" s="20"/>
    </row>
    <row r="37" spans="2:9" ht="15">
      <c r="B37" s="32"/>
      <c r="C37" s="33"/>
      <c r="D37" s="21"/>
      <c r="E37" s="20"/>
      <c r="F37" s="20"/>
      <c r="G37" s="20"/>
      <c r="H37" s="20"/>
      <c r="I37" s="20"/>
    </row>
    <row r="38" spans="2:9" ht="15">
      <c r="B38" s="32"/>
      <c r="C38" s="34"/>
      <c r="D38" s="21"/>
      <c r="E38" s="30"/>
      <c r="F38" s="30"/>
      <c r="G38" s="30"/>
      <c r="H38" s="20"/>
      <c r="I38" s="20"/>
    </row>
    <row r="39" spans="2:9" ht="15">
      <c r="B39" s="32"/>
      <c r="C39" s="34"/>
      <c r="D39" s="21"/>
      <c r="E39" s="30"/>
      <c r="F39" s="30"/>
      <c r="G39" s="30"/>
      <c r="H39" s="20"/>
      <c r="I39" s="20"/>
    </row>
    <row r="40" spans="3:9" ht="15">
      <c r="C40" s="33"/>
      <c r="D40" s="21"/>
      <c r="E40" s="20"/>
      <c r="F40" s="20"/>
      <c r="G40" s="20"/>
      <c r="H40" s="20"/>
      <c r="I40" s="20"/>
    </row>
    <row r="41" spans="2:9" ht="15">
      <c r="B41" s="21"/>
      <c r="C41" s="20"/>
      <c r="D41" s="21"/>
      <c r="E41" s="20"/>
      <c r="F41" s="20"/>
      <c r="G41" s="20"/>
      <c r="H41" s="20"/>
      <c r="I41" s="20"/>
    </row>
    <row r="42" spans="2:9" ht="15">
      <c r="B42" s="21"/>
      <c r="C42" s="20"/>
      <c r="D42" s="21"/>
      <c r="E42" s="20"/>
      <c r="F42" s="20"/>
      <c r="G42" s="20"/>
      <c r="H42" s="20"/>
      <c r="I42" s="20"/>
    </row>
    <row r="43" spans="2:9" ht="15">
      <c r="B43" s="21"/>
      <c r="C43" s="20"/>
      <c r="D43" s="21"/>
      <c r="E43" s="20"/>
      <c r="F43" s="20"/>
      <c r="G43" s="20"/>
      <c r="H43" s="20"/>
      <c r="I43" s="20"/>
    </row>
    <row r="44" spans="2:9" ht="15">
      <c r="B44" s="21"/>
      <c r="C44" s="20"/>
      <c r="D44" s="21"/>
      <c r="E44" s="20"/>
      <c r="F44" s="20"/>
      <c r="G44" s="20"/>
      <c r="H44" s="20"/>
      <c r="I44" s="20"/>
    </row>
    <row r="45" spans="2:9" ht="15">
      <c r="B45" s="21"/>
      <c r="C45" s="20"/>
      <c r="D45" s="21"/>
      <c r="E45" s="20"/>
      <c r="F45" s="20"/>
      <c r="G45" s="20"/>
      <c r="H45" s="20"/>
      <c r="I45" s="20"/>
    </row>
    <row r="46" spans="2:9" ht="15">
      <c r="B46" s="21"/>
      <c r="C46" s="20"/>
      <c r="D46" s="21"/>
      <c r="E46" s="20"/>
      <c r="F46" s="20"/>
      <c r="G46" s="20"/>
      <c r="H46" s="20"/>
      <c r="I46" s="20"/>
    </row>
    <row r="47" spans="2:9" ht="15">
      <c r="B47" s="21"/>
      <c r="C47" s="20"/>
      <c r="D47" s="21"/>
      <c r="E47" s="20"/>
      <c r="F47" s="20"/>
      <c r="G47" s="20"/>
      <c r="H47" s="20"/>
      <c r="I47" s="20"/>
    </row>
    <row r="48" spans="2:9" ht="15">
      <c r="B48" s="21"/>
      <c r="C48" s="20"/>
      <c r="D48" s="21"/>
      <c r="E48" s="20"/>
      <c r="F48" s="20"/>
      <c r="G48" s="20"/>
      <c r="H48" s="20"/>
      <c r="I48" s="20"/>
    </row>
    <row r="49" spans="2:9" ht="15">
      <c r="B49" s="21"/>
      <c r="C49" s="20"/>
      <c r="D49" s="21"/>
      <c r="E49" s="20"/>
      <c r="F49" s="20"/>
      <c r="G49" s="20"/>
      <c r="H49" s="20"/>
      <c r="I49" s="20"/>
    </row>
  </sheetData>
  <sheetProtection/>
  <mergeCells count="1">
    <mergeCell ref="B8:D8"/>
  </mergeCells>
  <printOptions horizontalCentered="1"/>
  <pageMargins left="0.4330708661417323" right="0.2362204724409449" top="0.984251968503937" bottom="0.984251968503937" header="0.5118110236220472" footer="0.5118110236220472"/>
  <pageSetup horizontalDpi="300" verticalDpi="300" orientation="portrait" paperSize="9" scale="95" r:id="rId2"/>
  <drawing r:id="rId1"/>
</worksheet>
</file>

<file path=xl/worksheets/sheet20.xml><?xml version="1.0" encoding="utf-8"?>
<worksheet xmlns="http://schemas.openxmlformats.org/spreadsheetml/2006/main" xmlns:r="http://schemas.openxmlformats.org/officeDocument/2006/relationships">
  <dimension ref="A1:CA49"/>
  <sheetViews>
    <sheetView zoomScalePageLayoutView="0" workbookViewId="0" topLeftCell="A1">
      <selection activeCell="A2" sqref="A2:D2"/>
    </sheetView>
  </sheetViews>
  <sheetFormatPr defaultColWidth="9.140625" defaultRowHeight="12.75"/>
  <cols>
    <col min="1" max="1" width="26.28125" style="992" customWidth="1"/>
    <col min="2" max="4" width="28.140625" style="992" customWidth="1"/>
    <col min="5" max="5" width="18.28125" style="992" customWidth="1"/>
    <col min="6" max="6" width="14.421875" style="992" customWidth="1"/>
    <col min="7" max="16384" width="9.140625" style="992" customWidth="1"/>
  </cols>
  <sheetData>
    <row r="1" spans="1:79" s="991" customFormat="1" ht="30.75" customHeight="1">
      <c r="A1" s="985"/>
      <c r="B1" s="986"/>
      <c r="C1" s="951"/>
      <c r="D1" s="951"/>
      <c r="E1" s="951"/>
      <c r="F1" s="951"/>
      <c r="G1" s="951"/>
      <c r="H1" s="951"/>
      <c r="I1" s="111"/>
      <c r="J1" s="951"/>
      <c r="K1" s="987"/>
      <c r="L1" s="988"/>
      <c r="M1" s="988"/>
      <c r="N1" s="988"/>
      <c r="O1" s="988"/>
      <c r="P1" s="988"/>
      <c r="Q1" s="45"/>
      <c r="R1" s="989"/>
      <c r="S1" s="989"/>
      <c r="T1" s="988"/>
      <c r="U1" s="988"/>
      <c r="V1" s="988"/>
      <c r="W1" s="45"/>
      <c r="X1" s="45"/>
      <c r="Y1" s="990"/>
      <c r="Z1" s="989"/>
      <c r="AA1" s="989"/>
      <c r="AB1" s="989"/>
      <c r="AC1" s="988"/>
      <c r="AD1" s="988"/>
      <c r="AE1" s="988"/>
      <c r="AF1" s="988"/>
      <c r="AG1" s="988"/>
      <c r="AH1" s="988"/>
      <c r="AI1" s="988"/>
      <c r="AJ1" s="45"/>
      <c r="AK1" s="45"/>
      <c r="AL1" s="990"/>
      <c r="AM1" s="989"/>
      <c r="AN1" s="989"/>
      <c r="AO1" s="989"/>
      <c r="AP1" s="988"/>
      <c r="AQ1" s="988"/>
      <c r="AR1" s="988"/>
      <c r="AS1" s="988"/>
      <c r="AT1" s="988"/>
      <c r="AU1" s="988"/>
      <c r="AV1" s="988"/>
      <c r="AW1" s="45"/>
      <c r="AX1" s="45"/>
      <c r="AY1" s="990"/>
      <c r="AZ1" s="989"/>
      <c r="BA1" s="989"/>
      <c r="BB1" s="989"/>
      <c r="BC1" s="988"/>
      <c r="BD1" s="988"/>
      <c r="BE1" s="988"/>
      <c r="BF1" s="988"/>
      <c r="BG1" s="988"/>
      <c r="BH1" s="988"/>
      <c r="BI1" s="988"/>
      <c r="BJ1" s="985"/>
      <c r="BK1" s="985"/>
      <c r="BL1" s="985"/>
      <c r="BM1" s="985"/>
      <c r="BN1" s="985"/>
      <c r="BO1" s="985"/>
      <c r="BP1" s="985"/>
      <c r="BQ1" s="985"/>
      <c r="BR1" s="985"/>
      <c r="BS1" s="985"/>
      <c r="BT1" s="985"/>
      <c r="BU1" s="985"/>
      <c r="BV1" s="985"/>
      <c r="BW1" s="985"/>
      <c r="BX1" s="985"/>
      <c r="BY1" s="985"/>
      <c r="BZ1" s="985"/>
      <c r="CA1" s="985"/>
    </row>
    <row r="2" spans="1:4" ht="15.75">
      <c r="A2" s="1695" t="s">
        <v>1117</v>
      </c>
      <c r="B2" s="1695"/>
      <c r="C2" s="1695"/>
      <c r="D2" s="1695"/>
    </row>
    <row r="3" spans="1:4" ht="12.75">
      <c r="A3" s="1694" t="s">
        <v>788</v>
      </c>
      <c r="B3" s="1694" t="s">
        <v>114</v>
      </c>
      <c r="C3" s="1694" t="s">
        <v>789</v>
      </c>
      <c r="D3" s="1694"/>
    </row>
    <row r="4" spans="1:4" ht="12.75">
      <c r="A4" s="1694"/>
      <c r="B4" s="1694"/>
      <c r="C4" s="1005" t="s">
        <v>790</v>
      </c>
      <c r="D4" s="1005" t="s">
        <v>791</v>
      </c>
    </row>
    <row r="5" spans="1:4" ht="12.75">
      <c r="A5" s="996" t="s">
        <v>792</v>
      </c>
      <c r="B5" s="1691" t="s">
        <v>793</v>
      </c>
      <c r="C5" s="1691" t="s">
        <v>794</v>
      </c>
      <c r="D5" s="1691" t="s">
        <v>311</v>
      </c>
    </row>
    <row r="6" spans="1:4" ht="12.75">
      <c r="A6" s="996" t="s">
        <v>795</v>
      </c>
      <c r="B6" s="1691"/>
      <c r="C6" s="1691"/>
      <c r="D6" s="1691"/>
    </row>
    <row r="7" spans="1:4" ht="12.75">
      <c r="A7" s="996" t="s">
        <v>796</v>
      </c>
      <c r="B7" s="1691"/>
      <c r="C7" s="1691"/>
      <c r="D7" s="1691"/>
    </row>
    <row r="8" spans="1:4" ht="12.75">
      <c r="A8" s="996" t="s">
        <v>797</v>
      </c>
      <c r="B8" s="1691"/>
      <c r="C8" s="1691"/>
      <c r="D8" s="1691"/>
    </row>
    <row r="9" spans="1:4" ht="12.75">
      <c r="A9" s="996" t="s">
        <v>798</v>
      </c>
      <c r="B9" s="1691"/>
      <c r="C9" s="1691"/>
      <c r="D9" s="1691"/>
    </row>
    <row r="10" spans="1:4" ht="12.75">
      <c r="A10" s="996" t="s">
        <v>799</v>
      </c>
      <c r="B10" s="1691"/>
      <c r="C10" s="1691"/>
      <c r="D10" s="1691"/>
    </row>
    <row r="11" ht="15.75">
      <c r="A11" s="1006"/>
    </row>
    <row r="12" spans="1:6" ht="12.75">
      <c r="A12" s="1005" t="s">
        <v>800</v>
      </c>
      <c r="B12" s="1694" t="s">
        <v>580</v>
      </c>
      <c r="C12" s="1694"/>
      <c r="D12" s="1694" t="s">
        <v>114</v>
      </c>
      <c r="E12" s="1694" t="s">
        <v>789</v>
      </c>
      <c r="F12" s="1694"/>
    </row>
    <row r="13" spans="1:6" ht="12.75">
      <c r="A13" s="1005" t="s">
        <v>801</v>
      </c>
      <c r="B13" s="1694"/>
      <c r="C13" s="1694"/>
      <c r="D13" s="1694"/>
      <c r="E13" s="1694"/>
      <c r="F13" s="1694"/>
    </row>
    <row r="14" spans="1:6" ht="12.75">
      <c r="A14" s="1005" t="s">
        <v>802</v>
      </c>
      <c r="B14" s="1694"/>
      <c r="C14" s="1694"/>
      <c r="D14" s="1694"/>
      <c r="E14" s="1694"/>
      <c r="F14" s="1694"/>
    </row>
    <row r="15" spans="1:6" ht="25.5">
      <c r="A15" s="1007" t="s">
        <v>803</v>
      </c>
      <c r="B15" s="1005" t="s">
        <v>804</v>
      </c>
      <c r="C15" s="1005" t="s">
        <v>805</v>
      </c>
      <c r="D15" s="1694"/>
      <c r="E15" s="1005" t="s">
        <v>790</v>
      </c>
      <c r="F15" s="1005" t="s">
        <v>791</v>
      </c>
    </row>
    <row r="16" spans="1:6" ht="38.25">
      <c r="A16" s="994" t="s">
        <v>806</v>
      </c>
      <c r="B16" s="994" t="s">
        <v>807</v>
      </c>
      <c r="C16" s="994"/>
      <c r="D16" s="994" t="s">
        <v>808</v>
      </c>
      <c r="E16" s="996" t="s">
        <v>809</v>
      </c>
      <c r="F16" s="996" t="s">
        <v>311</v>
      </c>
    </row>
    <row r="17" spans="1:6" ht="25.5">
      <c r="A17" s="994" t="s">
        <v>810</v>
      </c>
      <c r="B17" s="994" t="s">
        <v>326</v>
      </c>
      <c r="C17" s="994"/>
      <c r="D17" s="994" t="s">
        <v>310</v>
      </c>
      <c r="E17" s="996" t="s">
        <v>311</v>
      </c>
      <c r="F17" s="996" t="s">
        <v>311</v>
      </c>
    </row>
    <row r="18" spans="1:6" ht="51">
      <c r="A18" s="994" t="s">
        <v>811</v>
      </c>
      <c r="B18" s="994"/>
      <c r="C18" s="994" t="s">
        <v>286</v>
      </c>
      <c r="D18" s="994" t="s">
        <v>310</v>
      </c>
      <c r="E18" s="996" t="s">
        <v>311</v>
      </c>
      <c r="F18" s="996" t="s">
        <v>311</v>
      </c>
    </row>
    <row r="19" spans="1:6" ht="38.25">
      <c r="A19" s="994" t="s">
        <v>812</v>
      </c>
      <c r="B19" s="994" t="s">
        <v>328</v>
      </c>
      <c r="C19" s="1008"/>
      <c r="D19" s="994" t="s">
        <v>310</v>
      </c>
      <c r="E19" s="996" t="s">
        <v>311</v>
      </c>
      <c r="F19" s="996" t="s">
        <v>311</v>
      </c>
    </row>
    <row r="20" spans="1:6" ht="51">
      <c r="A20" s="994" t="s">
        <v>813</v>
      </c>
      <c r="B20" s="994" t="s">
        <v>330</v>
      </c>
      <c r="C20" s="994"/>
      <c r="D20" s="994"/>
      <c r="E20" s="996"/>
      <c r="F20" s="996" t="s">
        <v>311</v>
      </c>
    </row>
    <row r="21" spans="1:6" ht="25.5">
      <c r="A21" s="994" t="s">
        <v>814</v>
      </c>
      <c r="B21" s="994"/>
      <c r="C21" s="994" t="s">
        <v>298</v>
      </c>
      <c r="D21" s="994" t="s">
        <v>312</v>
      </c>
      <c r="E21" s="996" t="s">
        <v>313</v>
      </c>
      <c r="F21" s="996" t="s">
        <v>311</v>
      </c>
    </row>
    <row r="22" spans="1:6" ht="12.75">
      <c r="A22" s="994" t="s">
        <v>815</v>
      </c>
      <c r="B22" s="994"/>
      <c r="C22" s="994" t="s">
        <v>300</v>
      </c>
      <c r="D22" s="994" t="s">
        <v>314</v>
      </c>
      <c r="E22" s="996" t="s">
        <v>311</v>
      </c>
      <c r="F22" s="996" t="s">
        <v>311</v>
      </c>
    </row>
    <row r="23" spans="1:6" ht="38.25">
      <c r="A23" s="994" t="s">
        <v>816</v>
      </c>
      <c r="B23" s="994"/>
      <c r="C23" s="994" t="s">
        <v>817</v>
      </c>
      <c r="D23" s="994" t="s">
        <v>315</v>
      </c>
      <c r="E23" s="996" t="s">
        <v>313</v>
      </c>
      <c r="F23" s="996" t="s">
        <v>311</v>
      </c>
    </row>
    <row r="24" spans="1:6" ht="25.5">
      <c r="A24" s="999" t="s">
        <v>818</v>
      </c>
      <c r="B24" s="999" t="s">
        <v>332</v>
      </c>
      <c r="C24" s="999"/>
      <c r="D24" s="999" t="s">
        <v>819</v>
      </c>
      <c r="E24" s="1002" t="s">
        <v>317</v>
      </c>
      <c r="F24" s="1002" t="s">
        <v>311</v>
      </c>
    </row>
    <row r="25" spans="1:6" ht="51">
      <c r="A25" s="999" t="s">
        <v>820</v>
      </c>
      <c r="B25" s="999" t="s">
        <v>333</v>
      </c>
      <c r="C25" s="999"/>
      <c r="D25" s="1002" t="s">
        <v>821</v>
      </c>
      <c r="E25" s="1002" t="s">
        <v>317</v>
      </c>
      <c r="F25" s="1002" t="s">
        <v>311</v>
      </c>
    </row>
    <row r="26" spans="1:6" ht="38.25">
      <c r="A26" s="999" t="s">
        <v>822</v>
      </c>
      <c r="B26" s="999" t="s">
        <v>334</v>
      </c>
      <c r="C26" s="999"/>
      <c r="D26" s="1002" t="s">
        <v>823</v>
      </c>
      <c r="E26" s="1002" t="s">
        <v>824</v>
      </c>
      <c r="F26" s="1002" t="s">
        <v>311</v>
      </c>
    </row>
    <row r="27" spans="1:6" ht="38.25">
      <c r="A27" s="994" t="s">
        <v>825</v>
      </c>
      <c r="B27" s="994" t="s">
        <v>335</v>
      </c>
      <c r="C27" s="1008"/>
      <c r="D27" s="996" t="s">
        <v>826</v>
      </c>
      <c r="E27" s="996" t="s">
        <v>313</v>
      </c>
      <c r="F27" s="996" t="s">
        <v>311</v>
      </c>
    </row>
    <row r="28" spans="1:6" ht="51">
      <c r="A28" s="994" t="s">
        <v>827</v>
      </c>
      <c r="B28" s="994"/>
      <c r="C28" s="994" t="s">
        <v>303</v>
      </c>
      <c r="D28" s="996" t="s">
        <v>316</v>
      </c>
      <c r="E28" s="996" t="s">
        <v>317</v>
      </c>
      <c r="F28" s="996" t="s">
        <v>311</v>
      </c>
    </row>
    <row r="29" spans="1:6" ht="38.25">
      <c r="A29" s="994" t="s">
        <v>828</v>
      </c>
      <c r="B29" s="994" t="s">
        <v>336</v>
      </c>
      <c r="C29" s="994"/>
      <c r="D29" s="994" t="s">
        <v>829</v>
      </c>
      <c r="E29" s="996" t="s">
        <v>317</v>
      </c>
      <c r="F29" s="996" t="s">
        <v>311</v>
      </c>
    </row>
    <row r="30" spans="1:6" ht="38.25">
      <c r="A30" s="994" t="s">
        <v>830</v>
      </c>
      <c r="B30" s="994" t="s">
        <v>337</v>
      </c>
      <c r="C30" s="994"/>
      <c r="D30" s="994" t="s">
        <v>829</v>
      </c>
      <c r="E30" s="996" t="s">
        <v>317</v>
      </c>
      <c r="F30" s="996" t="s">
        <v>311</v>
      </c>
    </row>
    <row r="31" spans="1:6" ht="89.25">
      <c r="A31" s="999" t="s">
        <v>831</v>
      </c>
      <c r="B31" s="999" t="s">
        <v>338</v>
      </c>
      <c r="C31" s="999"/>
      <c r="D31" s="999" t="s">
        <v>318</v>
      </c>
      <c r="E31" s="1002" t="s">
        <v>317</v>
      </c>
      <c r="F31" s="1002" t="s">
        <v>311</v>
      </c>
    </row>
    <row r="32" spans="1:6" ht="51">
      <c r="A32" s="994" t="s">
        <v>832</v>
      </c>
      <c r="B32" s="994"/>
      <c r="C32" s="994" t="s">
        <v>304</v>
      </c>
      <c r="D32" s="994" t="s">
        <v>318</v>
      </c>
      <c r="E32" s="996" t="s">
        <v>317</v>
      </c>
      <c r="F32" s="996" t="s">
        <v>311</v>
      </c>
    </row>
    <row r="33" spans="1:6" ht="25.5">
      <c r="A33" s="994" t="s">
        <v>833</v>
      </c>
      <c r="B33" s="994" t="s">
        <v>340</v>
      </c>
      <c r="C33" s="994"/>
      <c r="D33" s="996" t="s">
        <v>834</v>
      </c>
      <c r="E33" s="996" t="s">
        <v>317</v>
      </c>
      <c r="F33" s="996" t="s">
        <v>311</v>
      </c>
    </row>
    <row r="34" spans="1:6" ht="38.25">
      <c r="A34" s="994" t="s">
        <v>835</v>
      </c>
      <c r="B34" s="994"/>
      <c r="C34" s="994" t="s">
        <v>306</v>
      </c>
      <c r="D34" s="994" t="s">
        <v>319</v>
      </c>
      <c r="E34" s="996" t="s">
        <v>320</v>
      </c>
      <c r="F34" s="996" t="s">
        <v>320</v>
      </c>
    </row>
    <row r="35" spans="1:6" ht="51">
      <c r="A35" s="994" t="s">
        <v>836</v>
      </c>
      <c r="B35" s="994" t="s">
        <v>341</v>
      </c>
      <c r="C35" s="994"/>
      <c r="D35" s="994" t="s">
        <v>837</v>
      </c>
      <c r="E35" s="996" t="s">
        <v>313</v>
      </c>
      <c r="F35" s="996" t="s">
        <v>311</v>
      </c>
    </row>
    <row r="36" spans="1:6" ht="25.5">
      <c r="A36" s="994" t="s">
        <v>838</v>
      </c>
      <c r="B36" s="994" t="s">
        <v>839</v>
      </c>
      <c r="C36" s="994"/>
      <c r="D36" s="994" t="s">
        <v>840</v>
      </c>
      <c r="E36" s="996" t="s">
        <v>317</v>
      </c>
      <c r="F36" s="996" t="s">
        <v>311</v>
      </c>
    </row>
    <row r="37" spans="1:6" ht="38.25">
      <c r="A37" s="994" t="s">
        <v>841</v>
      </c>
      <c r="B37" s="994" t="s">
        <v>343</v>
      </c>
      <c r="C37" s="994"/>
      <c r="D37" s="994" t="s">
        <v>842</v>
      </c>
      <c r="E37" s="996" t="s">
        <v>313</v>
      </c>
      <c r="F37" s="996" t="s">
        <v>311</v>
      </c>
    </row>
    <row r="38" spans="1:6" ht="76.5">
      <c r="A38" s="994" t="s">
        <v>843</v>
      </c>
      <c r="B38" s="994" t="s">
        <v>344</v>
      </c>
      <c r="C38" s="994"/>
      <c r="D38" s="994" t="s">
        <v>844</v>
      </c>
      <c r="E38" s="996" t="s">
        <v>317</v>
      </c>
      <c r="F38" s="996" t="s">
        <v>311</v>
      </c>
    </row>
    <row r="39" spans="1:6" ht="51">
      <c r="A39" s="994" t="s">
        <v>845</v>
      </c>
      <c r="B39" s="994"/>
      <c r="C39" s="994" t="s">
        <v>307</v>
      </c>
      <c r="D39" s="994" t="s">
        <v>321</v>
      </c>
      <c r="E39" s="996" t="s">
        <v>311</v>
      </c>
      <c r="F39" s="996" t="s">
        <v>311</v>
      </c>
    </row>
    <row r="40" spans="1:6" ht="63.75">
      <c r="A40" s="994" t="s">
        <v>846</v>
      </c>
      <c r="B40" s="994" t="s">
        <v>345</v>
      </c>
      <c r="C40" s="994"/>
      <c r="D40" s="994" t="s">
        <v>847</v>
      </c>
      <c r="E40" s="996" t="s">
        <v>848</v>
      </c>
      <c r="F40" s="996" t="s">
        <v>311</v>
      </c>
    </row>
    <row r="41" spans="1:6" ht="38.25">
      <c r="A41" s="994" t="s">
        <v>849</v>
      </c>
      <c r="B41" s="994" t="s">
        <v>346</v>
      </c>
      <c r="C41" s="994"/>
      <c r="D41" s="994" t="s">
        <v>850</v>
      </c>
      <c r="E41" s="996" t="s">
        <v>851</v>
      </c>
      <c r="F41" s="996" t="s">
        <v>311</v>
      </c>
    </row>
    <row r="42" spans="1:6" ht="38.25">
      <c r="A42" s="994" t="s">
        <v>852</v>
      </c>
      <c r="B42" s="994" t="s">
        <v>347</v>
      </c>
      <c r="C42" s="994"/>
      <c r="D42" s="994" t="s">
        <v>853</v>
      </c>
      <c r="E42" s="996" t="s">
        <v>311</v>
      </c>
      <c r="F42" s="996" t="s">
        <v>311</v>
      </c>
    </row>
    <row r="43" spans="1:6" ht="63.75">
      <c r="A43" s="994" t="s">
        <v>854</v>
      </c>
      <c r="B43" s="994"/>
      <c r="C43" s="994" t="s">
        <v>308</v>
      </c>
      <c r="D43" s="994" t="s">
        <v>322</v>
      </c>
      <c r="E43" s="996" t="s">
        <v>311</v>
      </c>
      <c r="F43" s="996" t="s">
        <v>311</v>
      </c>
    </row>
    <row r="44" spans="1:6" ht="38.25">
      <c r="A44" s="994" t="s">
        <v>855</v>
      </c>
      <c r="B44" s="994" t="s">
        <v>349</v>
      </c>
      <c r="C44" s="994"/>
      <c r="D44" s="994" t="s">
        <v>310</v>
      </c>
      <c r="E44" s="996" t="s">
        <v>311</v>
      </c>
      <c r="F44" s="996" t="s">
        <v>311</v>
      </c>
    </row>
    <row r="45" spans="1:6" ht="25.5">
      <c r="A45" s="994" t="s">
        <v>856</v>
      </c>
      <c r="B45" s="994" t="s">
        <v>350</v>
      </c>
      <c r="C45" s="994"/>
      <c r="D45" s="994" t="s">
        <v>310</v>
      </c>
      <c r="E45" s="996" t="s">
        <v>311</v>
      </c>
      <c r="F45" s="996" t="s">
        <v>311</v>
      </c>
    </row>
    <row r="46" spans="1:6" ht="38.25">
      <c r="A46" s="994" t="s">
        <v>857</v>
      </c>
      <c r="B46" s="994"/>
      <c r="C46" s="994" t="s">
        <v>309</v>
      </c>
      <c r="D46" s="994" t="s">
        <v>310</v>
      </c>
      <c r="E46" s="996" t="s">
        <v>311</v>
      </c>
      <c r="F46" s="996" t="s">
        <v>311</v>
      </c>
    </row>
    <row r="49" ht="12.75">
      <c r="A49" s="1009" t="s">
        <v>858</v>
      </c>
    </row>
  </sheetData>
  <sheetProtection/>
  <mergeCells count="10">
    <mergeCell ref="B12:C14"/>
    <mergeCell ref="D12:D15"/>
    <mergeCell ref="E12:F14"/>
    <mergeCell ref="A2:D2"/>
    <mergeCell ref="A3:A4"/>
    <mergeCell ref="B3:B4"/>
    <mergeCell ref="C3:D3"/>
    <mergeCell ref="B5:B10"/>
    <mergeCell ref="C5:C10"/>
    <mergeCell ref="D5:D10"/>
  </mergeCells>
  <hyperlinks>
    <hyperlink ref="A15" location="_ftn1" display="_ftn1"/>
    <hyperlink ref="A49" location="_ftnref1" display="_ftnref1"/>
  </hyperlinks>
  <printOptions/>
  <pageMargins left="0.511811024" right="0.511811024" top="0.787401575" bottom="0.787401575" header="0.31496062" footer="0.31496062"/>
  <pageSetup orientation="portrait" paperSize="9"/>
  <drawing r:id="rId1"/>
</worksheet>
</file>

<file path=xl/worksheets/sheet21.xml><?xml version="1.0" encoding="utf-8"?>
<worksheet xmlns="http://schemas.openxmlformats.org/spreadsheetml/2006/main" xmlns:r="http://schemas.openxmlformats.org/officeDocument/2006/relationships">
  <dimension ref="A1:CA76"/>
  <sheetViews>
    <sheetView zoomScale="80" zoomScaleNormal="80" zoomScalePageLayoutView="0" workbookViewId="0" topLeftCell="A13">
      <selection activeCell="A21" sqref="A21"/>
    </sheetView>
  </sheetViews>
  <sheetFormatPr defaultColWidth="9.140625" defaultRowHeight="12.75"/>
  <cols>
    <col min="1" max="1" width="30.00390625" style="992" customWidth="1"/>
    <col min="2" max="2" width="15.421875" style="992" customWidth="1"/>
    <col min="3" max="5" width="10.57421875" style="992" customWidth="1"/>
    <col min="6" max="6" width="12.140625" style="992" customWidth="1"/>
    <col min="7" max="8" width="19.8515625" style="992" customWidth="1"/>
    <col min="9" max="16384" width="9.140625" style="992" customWidth="1"/>
  </cols>
  <sheetData>
    <row r="1" spans="1:79" s="991" customFormat="1" ht="30.75" customHeight="1" thickBot="1">
      <c r="A1" s="985"/>
      <c r="B1" s="986"/>
      <c r="C1" s="951"/>
      <c r="D1" s="951"/>
      <c r="E1" s="951"/>
      <c r="F1" s="951"/>
      <c r="G1" s="951"/>
      <c r="H1" s="951"/>
      <c r="I1" s="111"/>
      <c r="J1" s="951"/>
      <c r="K1" s="987"/>
      <c r="L1" s="988"/>
      <c r="M1" s="988"/>
      <c r="N1" s="988"/>
      <c r="O1" s="988"/>
      <c r="P1" s="988"/>
      <c r="Q1" s="45"/>
      <c r="R1" s="989"/>
      <c r="S1" s="989"/>
      <c r="T1" s="988"/>
      <c r="U1" s="988"/>
      <c r="V1" s="988"/>
      <c r="W1" s="45"/>
      <c r="X1" s="45"/>
      <c r="Y1" s="990"/>
      <c r="Z1" s="989"/>
      <c r="AA1" s="989"/>
      <c r="AB1" s="989"/>
      <c r="AC1" s="988"/>
      <c r="AD1" s="988"/>
      <c r="AE1" s="988"/>
      <c r="AF1" s="988"/>
      <c r="AG1" s="988"/>
      <c r="AH1" s="988"/>
      <c r="AI1" s="988"/>
      <c r="AJ1" s="45"/>
      <c r="AK1" s="45"/>
      <c r="AL1" s="990"/>
      <c r="AM1" s="989"/>
      <c r="AN1" s="989"/>
      <c r="AO1" s="989"/>
      <c r="AP1" s="988"/>
      <c r="AQ1" s="988"/>
      <c r="AR1" s="988"/>
      <c r="AS1" s="988"/>
      <c r="AT1" s="988"/>
      <c r="AU1" s="988"/>
      <c r="AV1" s="988"/>
      <c r="AW1" s="45"/>
      <c r="AX1" s="45"/>
      <c r="AY1" s="990"/>
      <c r="AZ1" s="989"/>
      <c r="BA1" s="989"/>
      <c r="BB1" s="989"/>
      <c r="BC1" s="988"/>
      <c r="BD1" s="988"/>
      <c r="BE1" s="988"/>
      <c r="BF1" s="988"/>
      <c r="BG1" s="988"/>
      <c r="BH1" s="988"/>
      <c r="BI1" s="988"/>
      <c r="BJ1" s="985"/>
      <c r="BK1" s="985"/>
      <c r="BL1" s="985"/>
      <c r="BM1" s="985"/>
      <c r="BN1" s="985"/>
      <c r="BO1" s="985"/>
      <c r="BP1" s="985"/>
      <c r="BQ1" s="985"/>
      <c r="BR1" s="985"/>
      <c r="BS1" s="985"/>
      <c r="BT1" s="985"/>
      <c r="BU1" s="985"/>
      <c r="BV1" s="985"/>
      <c r="BW1" s="985"/>
      <c r="BX1" s="985"/>
      <c r="BY1" s="985"/>
      <c r="BZ1" s="985"/>
      <c r="CA1" s="985"/>
    </row>
    <row r="2" spans="1:8" ht="15.75" customHeight="1">
      <c r="A2" s="1687" t="s">
        <v>1106</v>
      </c>
      <c r="B2" s="1688"/>
      <c r="C2" s="1688"/>
      <c r="D2" s="1688"/>
      <c r="E2" s="1688"/>
      <c r="F2" s="1688"/>
      <c r="G2" s="1688"/>
      <c r="H2" s="1689"/>
    </row>
    <row r="3" spans="1:8" ht="12.75">
      <c r="A3" s="1686" t="s">
        <v>647</v>
      </c>
      <c r="B3" s="1690" t="s">
        <v>878</v>
      </c>
      <c r="C3" s="1690"/>
      <c r="D3" s="1690"/>
      <c r="E3" s="1690"/>
      <c r="F3" s="1690"/>
      <c r="G3" s="1690"/>
      <c r="H3" s="1690"/>
    </row>
    <row r="4" spans="1:8" ht="12.75">
      <c r="A4" s="1686"/>
      <c r="B4" s="1690"/>
      <c r="C4" s="1690"/>
      <c r="D4" s="1690"/>
      <c r="E4" s="1690"/>
      <c r="F4" s="1690"/>
      <c r="G4" s="1690"/>
      <c r="H4" s="1690"/>
    </row>
    <row r="5" spans="1:8" ht="12.75">
      <c r="A5" s="993" t="s">
        <v>886</v>
      </c>
      <c r="B5" s="995" t="s">
        <v>649</v>
      </c>
      <c r="C5" s="995" t="s">
        <v>650</v>
      </c>
      <c r="D5" s="995" t="s">
        <v>651</v>
      </c>
      <c r="E5" s="995" t="s">
        <v>652</v>
      </c>
      <c r="F5" s="995" t="s">
        <v>653</v>
      </c>
      <c r="G5" s="995" t="s">
        <v>654</v>
      </c>
      <c r="H5" s="995" t="s">
        <v>54</v>
      </c>
    </row>
    <row r="6" spans="1:8" ht="31.5" customHeight="1">
      <c r="A6" s="994" t="s">
        <v>655</v>
      </c>
      <c r="B6" s="996">
        <v>0.65</v>
      </c>
      <c r="C6" s="996">
        <v>0.76</v>
      </c>
      <c r="D6" s="996">
        <v>0.76</v>
      </c>
      <c r="E6" s="996">
        <v>0.76</v>
      </c>
      <c r="F6" s="996">
        <v>0.76</v>
      </c>
      <c r="G6" s="994" t="s">
        <v>656</v>
      </c>
      <c r="H6" s="994"/>
    </row>
    <row r="7" spans="1:8" ht="40.5" customHeight="1">
      <c r="A7" s="994" t="s">
        <v>659</v>
      </c>
      <c r="B7" s="996">
        <v>930</v>
      </c>
      <c r="C7" s="996">
        <v>200</v>
      </c>
      <c r="D7" s="996">
        <v>200</v>
      </c>
      <c r="E7" s="996">
        <v>200</v>
      </c>
      <c r="F7" s="996">
        <v>200</v>
      </c>
      <c r="G7" s="994" t="s">
        <v>660</v>
      </c>
      <c r="H7" s="994" t="s">
        <v>657</v>
      </c>
    </row>
    <row r="8" spans="1:8" ht="39.75" customHeight="1">
      <c r="A8" s="994" t="s">
        <v>661</v>
      </c>
      <c r="B8" s="996">
        <v>49.79</v>
      </c>
      <c r="C8" s="996">
        <v>50.24</v>
      </c>
      <c r="D8" s="996">
        <v>50.28</v>
      </c>
      <c r="E8" s="996">
        <v>57.6</v>
      </c>
      <c r="F8" s="996">
        <v>57.6</v>
      </c>
      <c r="G8" s="994" t="s">
        <v>662</v>
      </c>
      <c r="H8" s="994"/>
    </row>
    <row r="9" spans="1:8" ht="35.25" customHeight="1">
      <c r="A9" s="994" t="s">
        <v>663</v>
      </c>
      <c r="B9" s="997">
        <v>4226</v>
      </c>
      <c r="C9" s="997">
        <v>4549</v>
      </c>
      <c r="D9" s="997">
        <v>4888</v>
      </c>
      <c r="E9" s="997">
        <v>5108</v>
      </c>
      <c r="F9" s="997">
        <v>5336</v>
      </c>
      <c r="G9" s="994" t="s">
        <v>664</v>
      </c>
      <c r="H9" s="994" t="s">
        <v>658</v>
      </c>
    </row>
    <row r="10" spans="1:8" ht="51">
      <c r="A10" s="994" t="s">
        <v>785</v>
      </c>
      <c r="B10" s="996">
        <v>35.24</v>
      </c>
      <c r="C10" s="996">
        <v>34.38</v>
      </c>
      <c r="D10" s="996">
        <v>33.3</v>
      </c>
      <c r="E10" s="996">
        <v>33.3</v>
      </c>
      <c r="F10" s="996">
        <v>33.3</v>
      </c>
      <c r="G10" s="994" t="s">
        <v>665</v>
      </c>
      <c r="H10" s="998"/>
    </row>
    <row r="11" spans="1:8" ht="31.5" customHeight="1">
      <c r="A11" s="994" t="s">
        <v>666</v>
      </c>
      <c r="B11" s="996">
        <v>11.46</v>
      </c>
      <c r="C11" s="996">
        <v>17.17</v>
      </c>
      <c r="D11" s="996">
        <v>19.16</v>
      </c>
      <c r="E11" s="996">
        <v>19.16</v>
      </c>
      <c r="F11" s="996">
        <v>19.16</v>
      </c>
      <c r="G11" s="994" t="s">
        <v>665</v>
      </c>
      <c r="H11" s="998"/>
    </row>
    <row r="13" spans="1:8" ht="12.75">
      <c r="A13" s="1684" t="s">
        <v>667</v>
      </c>
      <c r="B13" s="1684"/>
      <c r="C13" s="1684"/>
      <c r="D13" s="1684"/>
      <c r="E13" s="1684"/>
      <c r="F13" s="1684"/>
      <c r="G13" s="1684"/>
      <c r="H13" s="1684"/>
    </row>
    <row r="14" spans="1:8" ht="12.75">
      <c r="A14" s="1685" t="s">
        <v>1207</v>
      </c>
      <c r="B14" s="1685"/>
      <c r="C14" s="1685"/>
      <c r="D14" s="1685"/>
      <c r="E14" s="1685"/>
      <c r="F14" s="1685"/>
      <c r="G14" s="1685"/>
      <c r="H14" s="1685"/>
    </row>
    <row r="15" spans="1:8" ht="12.75">
      <c r="A15" s="1696" t="s">
        <v>669</v>
      </c>
      <c r="B15" s="1696"/>
      <c r="C15" s="1696"/>
      <c r="D15" s="1696"/>
      <c r="E15" s="1696"/>
      <c r="F15" s="1696"/>
      <c r="G15" s="1696"/>
      <c r="H15" s="1696"/>
    </row>
    <row r="16" spans="1:8" ht="46.5" customHeight="1">
      <c r="A16" s="1130" t="s">
        <v>1260</v>
      </c>
      <c r="B16" s="1131" t="s">
        <v>1160</v>
      </c>
      <c r="C16" s="1131"/>
      <c r="D16" s="1131"/>
      <c r="E16" s="1131"/>
      <c r="F16" s="1131" t="s">
        <v>1163</v>
      </c>
      <c r="G16" s="1131" t="s">
        <v>1159</v>
      </c>
      <c r="H16" s="1132" t="s">
        <v>1232</v>
      </c>
    </row>
    <row r="17" spans="1:8" ht="12.75">
      <c r="A17" s="1685" t="s">
        <v>1194</v>
      </c>
      <c r="B17" s="1685"/>
      <c r="C17" s="1685"/>
      <c r="D17" s="1685"/>
      <c r="E17" s="1685"/>
      <c r="F17" s="1685"/>
      <c r="G17" s="1685"/>
      <c r="H17" s="1685"/>
    </row>
    <row r="18" spans="1:8" ht="12.75">
      <c r="A18" s="1686" t="s">
        <v>669</v>
      </c>
      <c r="B18" s="1686"/>
      <c r="C18" s="1686"/>
      <c r="D18" s="1686"/>
      <c r="E18" s="1686"/>
      <c r="F18" s="1686"/>
      <c r="G18" s="1686"/>
      <c r="H18" s="1686"/>
    </row>
    <row r="19" spans="1:8" ht="54.75" customHeight="1">
      <c r="A19" s="1130" t="s">
        <v>1501</v>
      </c>
      <c r="B19" s="1131" t="s">
        <v>1162</v>
      </c>
      <c r="C19" s="1131" t="s">
        <v>1119</v>
      </c>
      <c r="D19" s="1131" t="s">
        <v>1120</v>
      </c>
      <c r="E19" s="1131" t="s">
        <v>1121</v>
      </c>
      <c r="F19" s="1131" t="s">
        <v>1122</v>
      </c>
      <c r="G19" s="1131" t="s">
        <v>1123</v>
      </c>
      <c r="H19" s="1132" t="s">
        <v>1233</v>
      </c>
    </row>
    <row r="20" spans="1:8" ht="12.75">
      <c r="A20" s="1686" t="s">
        <v>648</v>
      </c>
      <c r="B20" s="1686"/>
      <c r="C20" s="1686"/>
      <c r="D20" s="1686"/>
      <c r="E20" s="1686"/>
      <c r="F20" s="1686"/>
      <c r="G20" s="1686"/>
      <c r="H20" s="1686"/>
    </row>
    <row r="21" spans="1:8" ht="45.75" customHeight="1">
      <c r="A21" s="1130" t="s">
        <v>1261</v>
      </c>
      <c r="B21" s="1131" t="s">
        <v>1161</v>
      </c>
      <c r="C21" s="1131"/>
      <c r="D21" s="1131"/>
      <c r="E21" s="1131" t="s">
        <v>1124</v>
      </c>
      <c r="F21" s="1131" t="s">
        <v>1124</v>
      </c>
      <c r="G21" s="1131" t="s">
        <v>676</v>
      </c>
      <c r="H21" s="1132" t="s">
        <v>1233</v>
      </c>
    </row>
    <row r="22" spans="1:8" ht="12.75">
      <c r="A22" s="1697" t="s">
        <v>677</v>
      </c>
      <c r="B22" s="1697"/>
      <c r="C22" s="1697"/>
      <c r="D22" s="1697"/>
      <c r="E22" s="1697"/>
      <c r="F22" s="1697"/>
      <c r="G22" s="1697"/>
      <c r="H22" s="1697"/>
    </row>
    <row r="23" spans="1:8" ht="12.75">
      <c r="A23" s="1685" t="s">
        <v>1227</v>
      </c>
      <c r="B23" s="1685"/>
      <c r="C23" s="1685"/>
      <c r="D23" s="1685"/>
      <c r="E23" s="1685"/>
      <c r="F23" s="1685"/>
      <c r="G23" s="1685"/>
      <c r="H23" s="1685"/>
    </row>
    <row r="24" spans="1:8" ht="12.75">
      <c r="A24" s="1696" t="s">
        <v>669</v>
      </c>
      <c r="B24" s="1696"/>
      <c r="C24" s="1696"/>
      <c r="D24" s="1696"/>
      <c r="E24" s="1696"/>
      <c r="F24" s="1696"/>
      <c r="G24" s="1696"/>
      <c r="H24" s="1696"/>
    </row>
    <row r="25" spans="1:8" ht="67.5" customHeight="1">
      <c r="A25" s="1130" t="s">
        <v>1262</v>
      </c>
      <c r="B25" s="1131" t="s">
        <v>679</v>
      </c>
      <c r="C25" s="1131" t="s">
        <v>1126</v>
      </c>
      <c r="D25" s="1131" t="s">
        <v>1126</v>
      </c>
      <c r="E25" s="1131"/>
      <c r="F25" s="1131" t="s">
        <v>1263</v>
      </c>
      <c r="G25" s="1131" t="s">
        <v>1264</v>
      </c>
      <c r="H25" s="1132" t="s">
        <v>1265</v>
      </c>
    </row>
    <row r="26" spans="1:8" ht="74.25" customHeight="1">
      <c r="A26" s="1130" t="s">
        <v>1266</v>
      </c>
      <c r="B26" s="1131" t="s">
        <v>1267</v>
      </c>
      <c r="C26" s="1131"/>
      <c r="D26" s="1131" t="s">
        <v>1125</v>
      </c>
      <c r="E26" s="1131" t="s">
        <v>1125</v>
      </c>
      <c r="F26" s="1131" t="s">
        <v>1127</v>
      </c>
      <c r="G26" s="1131" t="s">
        <v>879</v>
      </c>
      <c r="H26" s="1132" t="s">
        <v>1241</v>
      </c>
    </row>
    <row r="27" spans="1:8" ht="57.75" customHeight="1">
      <c r="A27" s="1132" t="s">
        <v>359</v>
      </c>
      <c r="B27" s="1131" t="s">
        <v>683</v>
      </c>
      <c r="C27" s="1131"/>
      <c r="D27" s="1131"/>
      <c r="E27" s="1131" t="s">
        <v>1128</v>
      </c>
      <c r="F27" s="1131" t="s">
        <v>1129</v>
      </c>
      <c r="G27" s="1131" t="s">
        <v>686</v>
      </c>
      <c r="H27" s="1132" t="s">
        <v>1268</v>
      </c>
    </row>
    <row r="28" spans="1:8" ht="147.75" customHeight="1">
      <c r="A28" s="1130" t="s">
        <v>1269</v>
      </c>
      <c r="B28" s="1131" t="s">
        <v>1223</v>
      </c>
      <c r="C28" s="1131"/>
      <c r="D28" s="1131"/>
      <c r="E28" s="1131" t="s">
        <v>1130</v>
      </c>
      <c r="F28" s="1131"/>
      <c r="G28" s="1131" t="s">
        <v>880</v>
      </c>
      <c r="H28" s="1132" t="s">
        <v>1241</v>
      </c>
    </row>
    <row r="29" spans="1:8" ht="12.75">
      <c r="A29" s="1686" t="s">
        <v>648</v>
      </c>
      <c r="B29" s="1686"/>
      <c r="C29" s="1686"/>
      <c r="D29" s="1686"/>
      <c r="E29" s="1686"/>
      <c r="F29" s="1686"/>
      <c r="G29" s="1686"/>
      <c r="H29" s="1686"/>
    </row>
    <row r="30" spans="1:8" ht="60.75" customHeight="1">
      <c r="A30" s="1130" t="s">
        <v>1270</v>
      </c>
      <c r="B30" s="1131" t="s">
        <v>687</v>
      </c>
      <c r="C30" s="1131"/>
      <c r="D30" s="1131"/>
      <c r="E30" s="1131" t="s">
        <v>781</v>
      </c>
      <c r="F30" s="1131" t="s">
        <v>781</v>
      </c>
      <c r="G30" s="1131" t="s">
        <v>688</v>
      </c>
      <c r="H30" s="1132" t="s">
        <v>1233</v>
      </c>
    </row>
    <row r="31" spans="1:8" ht="59.25" customHeight="1">
      <c r="A31" s="1130" t="s">
        <v>1271</v>
      </c>
      <c r="B31" s="1131" t="s">
        <v>782</v>
      </c>
      <c r="C31" s="1131"/>
      <c r="D31" s="1131"/>
      <c r="E31" s="1131" t="s">
        <v>783</v>
      </c>
      <c r="F31" s="1131" t="s">
        <v>784</v>
      </c>
      <c r="G31" s="1131" t="s">
        <v>689</v>
      </c>
      <c r="H31" s="1132" t="s">
        <v>1233</v>
      </c>
    </row>
    <row r="32" spans="1:8" ht="50.25" customHeight="1">
      <c r="A32" s="1130" t="s">
        <v>1272</v>
      </c>
      <c r="B32" s="1131" t="s">
        <v>690</v>
      </c>
      <c r="C32" s="1131"/>
      <c r="D32" s="1131"/>
      <c r="E32" s="1131"/>
      <c r="F32" s="1131" t="s">
        <v>691</v>
      </c>
      <c r="G32" s="1131" t="s">
        <v>692</v>
      </c>
      <c r="H32" s="1132" t="s">
        <v>1233</v>
      </c>
    </row>
    <row r="33" spans="1:8" ht="12.75">
      <c r="A33" s="1685" t="s">
        <v>1228</v>
      </c>
      <c r="B33" s="1685"/>
      <c r="C33" s="1685"/>
      <c r="D33" s="1685"/>
      <c r="E33" s="1685"/>
      <c r="F33" s="1685"/>
      <c r="G33" s="1685"/>
      <c r="H33" s="1685"/>
    </row>
    <row r="34" spans="1:8" ht="12.75">
      <c r="A34" s="1686" t="s">
        <v>669</v>
      </c>
      <c r="B34" s="1686"/>
      <c r="C34" s="1686"/>
      <c r="D34" s="1686"/>
      <c r="E34" s="1686"/>
      <c r="F34" s="1686"/>
      <c r="G34" s="1686"/>
      <c r="H34" s="1686"/>
    </row>
    <row r="35" spans="1:8" ht="102">
      <c r="A35" s="1130" t="s">
        <v>1273</v>
      </c>
      <c r="B35" s="1131" t="s">
        <v>694</v>
      </c>
      <c r="C35" s="1132"/>
      <c r="D35" s="1131" t="s">
        <v>1131</v>
      </c>
      <c r="E35" s="1131" t="s">
        <v>1132</v>
      </c>
      <c r="F35" s="1131" t="s">
        <v>1133</v>
      </c>
      <c r="G35" s="1131" t="s">
        <v>698</v>
      </c>
      <c r="H35" s="1132" t="s">
        <v>1233</v>
      </c>
    </row>
    <row r="36" spans="1:8" ht="51">
      <c r="A36" s="1130" t="s">
        <v>1274</v>
      </c>
      <c r="B36" s="1131" t="s">
        <v>699</v>
      </c>
      <c r="C36" s="1132"/>
      <c r="D36" s="1131" t="s">
        <v>1134</v>
      </c>
      <c r="E36" s="1131" t="s">
        <v>1135</v>
      </c>
      <c r="F36" s="1131" t="s">
        <v>1136</v>
      </c>
      <c r="G36" s="1131" t="s">
        <v>703</v>
      </c>
      <c r="H36" s="1132" t="s">
        <v>1233</v>
      </c>
    </row>
    <row r="37" spans="1:8" ht="50.25" customHeight="1">
      <c r="A37" s="1130" t="s">
        <v>1275</v>
      </c>
      <c r="B37" s="1131" t="s">
        <v>704</v>
      </c>
      <c r="C37" s="1132"/>
      <c r="D37" s="1132"/>
      <c r="E37" s="1133">
        <v>0.15</v>
      </c>
      <c r="F37" s="1133">
        <v>0.2</v>
      </c>
      <c r="G37" s="1131" t="s">
        <v>707</v>
      </c>
      <c r="H37" s="1132" t="s">
        <v>1233</v>
      </c>
    </row>
    <row r="38" spans="1:8" ht="76.5">
      <c r="A38" s="1130" t="s">
        <v>1276</v>
      </c>
      <c r="B38" s="1131" t="s">
        <v>708</v>
      </c>
      <c r="C38" s="1132"/>
      <c r="D38" s="1132"/>
      <c r="E38" s="1131" t="s">
        <v>1137</v>
      </c>
      <c r="F38" s="1131" t="s">
        <v>1138</v>
      </c>
      <c r="G38" s="1131" t="s">
        <v>711</v>
      </c>
      <c r="H38" s="1132" t="s">
        <v>1233</v>
      </c>
    </row>
    <row r="39" spans="1:8" ht="12.75">
      <c r="A39" s="1686" t="s">
        <v>648</v>
      </c>
      <c r="B39" s="1686"/>
      <c r="C39" s="1686"/>
      <c r="D39" s="1686"/>
      <c r="E39" s="1686"/>
      <c r="F39" s="1686"/>
      <c r="G39" s="1686"/>
      <c r="H39" s="1686"/>
    </row>
    <row r="40" spans="1:8" ht="76.5">
      <c r="A40" s="1130" t="s">
        <v>1277</v>
      </c>
      <c r="B40" s="1131" t="s">
        <v>712</v>
      </c>
      <c r="C40" s="1131" t="s">
        <v>1139</v>
      </c>
      <c r="D40" s="1131" t="s">
        <v>1140</v>
      </c>
      <c r="E40" s="1131" t="s">
        <v>1141</v>
      </c>
      <c r="F40" s="1131" t="s">
        <v>1142</v>
      </c>
      <c r="G40" s="1131" t="s">
        <v>717</v>
      </c>
      <c r="H40" s="1132" t="s">
        <v>1233</v>
      </c>
    </row>
    <row r="41" spans="1:8" ht="12.75">
      <c r="A41" s="1684" t="s">
        <v>718</v>
      </c>
      <c r="B41" s="1684"/>
      <c r="C41" s="1684"/>
      <c r="D41" s="1684"/>
      <c r="E41" s="1684"/>
      <c r="F41" s="1684"/>
      <c r="G41" s="1684"/>
      <c r="H41" s="1684"/>
    </row>
    <row r="42" spans="1:8" ht="12.75">
      <c r="A42" s="1685" t="s">
        <v>1229</v>
      </c>
      <c r="B42" s="1685"/>
      <c r="C42" s="1685"/>
      <c r="D42" s="1685"/>
      <c r="E42" s="1685"/>
      <c r="F42" s="1685"/>
      <c r="G42" s="1685"/>
      <c r="H42" s="1685"/>
    </row>
    <row r="43" spans="1:8" ht="12.75">
      <c r="A43" s="1686" t="s">
        <v>669</v>
      </c>
      <c r="B43" s="1686"/>
      <c r="C43" s="1686"/>
      <c r="D43" s="1686"/>
      <c r="E43" s="1686"/>
      <c r="F43" s="1686"/>
      <c r="G43" s="1686"/>
      <c r="H43" s="993"/>
    </row>
    <row r="44" spans="1:8" ht="75.75" customHeight="1">
      <c r="A44" s="1130" t="s">
        <v>1278</v>
      </c>
      <c r="B44" s="1131" t="s">
        <v>1237</v>
      </c>
      <c r="C44" s="1131"/>
      <c r="D44" s="1131"/>
      <c r="E44" s="1131" t="s">
        <v>1234</v>
      </c>
      <c r="F44" s="1131"/>
      <c r="G44" s="1131" t="s">
        <v>1236</v>
      </c>
      <c r="H44" s="1132" t="s">
        <v>1235</v>
      </c>
    </row>
    <row r="45" spans="1:8" ht="127.5">
      <c r="A45" s="1130" t="s">
        <v>1279</v>
      </c>
      <c r="B45" s="1131" t="s">
        <v>723</v>
      </c>
      <c r="C45" s="1131"/>
      <c r="D45" s="1131"/>
      <c r="E45" s="1131"/>
      <c r="F45" s="1131" t="s">
        <v>1197</v>
      </c>
      <c r="G45" s="1131" t="s">
        <v>724</v>
      </c>
      <c r="H45" s="1132" t="s">
        <v>1409</v>
      </c>
    </row>
    <row r="46" spans="1:8" ht="63.75">
      <c r="A46" s="1130" t="s">
        <v>1280</v>
      </c>
      <c r="B46" s="1131" t="s">
        <v>882</v>
      </c>
      <c r="C46" s="1131"/>
      <c r="D46" s="1131"/>
      <c r="E46" s="1131"/>
      <c r="F46" s="1131" t="s">
        <v>1230</v>
      </c>
      <c r="G46" s="1131" t="s">
        <v>883</v>
      </c>
      <c r="H46" s="1132" t="s">
        <v>1241</v>
      </c>
    </row>
    <row r="47" spans="1:8" ht="12.75">
      <c r="A47" s="993" t="s">
        <v>648</v>
      </c>
      <c r="B47" s="1690"/>
      <c r="C47" s="1690"/>
      <c r="D47" s="1690"/>
      <c r="E47" s="1690"/>
      <c r="F47" s="1690"/>
      <c r="G47" s="1690"/>
      <c r="H47" s="994"/>
    </row>
    <row r="48" spans="1:8" ht="66.75" customHeight="1">
      <c r="A48" s="1130" t="s">
        <v>1281</v>
      </c>
      <c r="B48" s="1131" t="s">
        <v>725</v>
      </c>
      <c r="C48" s="1131"/>
      <c r="D48" s="1131" t="s">
        <v>726</v>
      </c>
      <c r="E48" s="1131" t="s">
        <v>786</v>
      </c>
      <c r="F48" s="1131" t="s">
        <v>787</v>
      </c>
      <c r="G48" s="1131" t="s">
        <v>727</v>
      </c>
      <c r="H48" s="1132" t="s">
        <v>1233</v>
      </c>
    </row>
    <row r="49" spans="1:8" ht="12.75">
      <c r="A49" s="1684" t="s">
        <v>728</v>
      </c>
      <c r="B49" s="1684"/>
      <c r="C49" s="1684"/>
      <c r="D49" s="1684"/>
      <c r="E49" s="1684"/>
      <c r="F49" s="1684"/>
      <c r="G49" s="1684"/>
      <c r="H49" s="1684"/>
    </row>
    <row r="50" spans="1:8" ht="12.75">
      <c r="A50" s="1685" t="s">
        <v>1231</v>
      </c>
      <c r="B50" s="1685"/>
      <c r="C50" s="1685"/>
      <c r="D50" s="1685"/>
      <c r="E50" s="1685"/>
      <c r="F50" s="1685"/>
      <c r="G50" s="1685"/>
      <c r="H50" s="1685"/>
    </row>
    <row r="51" spans="1:8" ht="12.75">
      <c r="A51" s="1686" t="s">
        <v>669</v>
      </c>
      <c r="B51" s="1686"/>
      <c r="C51" s="1686"/>
      <c r="D51" s="1686"/>
      <c r="E51" s="1686"/>
      <c r="F51" s="1686"/>
      <c r="G51" s="1686"/>
      <c r="H51" s="1686"/>
    </row>
    <row r="52" spans="1:8" ht="51">
      <c r="A52" s="1130" t="s">
        <v>1282</v>
      </c>
      <c r="B52" s="1131" t="s">
        <v>730</v>
      </c>
      <c r="C52" s="1131"/>
      <c r="D52" s="1131"/>
      <c r="E52" s="1131" t="s">
        <v>1143</v>
      </c>
      <c r="F52" s="1131"/>
      <c r="G52" s="1131" t="s">
        <v>732</v>
      </c>
      <c r="H52" s="1132" t="s">
        <v>1233</v>
      </c>
    </row>
    <row r="53" spans="1:8" ht="12.75">
      <c r="A53" s="1686" t="s">
        <v>648</v>
      </c>
      <c r="B53" s="1686"/>
      <c r="C53" s="1686"/>
      <c r="D53" s="1686"/>
      <c r="E53" s="1686"/>
      <c r="F53" s="1686"/>
      <c r="G53" s="1686"/>
      <c r="H53" s="1686"/>
    </row>
    <row r="54" spans="1:8" ht="54.75" customHeight="1">
      <c r="A54" s="1130" t="s">
        <v>1283</v>
      </c>
      <c r="B54" s="1131" t="s">
        <v>733</v>
      </c>
      <c r="C54" s="1131"/>
      <c r="D54" s="1131"/>
      <c r="E54" s="1131"/>
      <c r="F54" s="1131" t="s">
        <v>1144</v>
      </c>
      <c r="G54" s="1131" t="s">
        <v>736</v>
      </c>
      <c r="H54" s="1132" t="s">
        <v>1233</v>
      </c>
    </row>
    <row r="55" spans="1:8" ht="12.75">
      <c r="A55" s="1685" t="s">
        <v>1285</v>
      </c>
      <c r="B55" s="1685"/>
      <c r="C55" s="1685"/>
      <c r="D55" s="1685"/>
      <c r="E55" s="1685"/>
      <c r="F55" s="1685"/>
      <c r="G55" s="1685"/>
      <c r="H55" s="1685"/>
    </row>
    <row r="56" spans="1:8" ht="12.75">
      <c r="A56" s="1686" t="s">
        <v>669</v>
      </c>
      <c r="B56" s="1686"/>
      <c r="C56" s="1686"/>
      <c r="D56" s="1686"/>
      <c r="E56" s="1686"/>
      <c r="F56" s="1686"/>
      <c r="G56" s="1686"/>
      <c r="H56" s="1686"/>
    </row>
    <row r="57" spans="1:8" ht="89.25">
      <c r="A57" s="1130" t="s">
        <v>1284</v>
      </c>
      <c r="B57" s="1131" t="s">
        <v>738</v>
      </c>
      <c r="C57" s="1131"/>
      <c r="D57" s="1131"/>
      <c r="E57" s="1131" t="s">
        <v>1145</v>
      </c>
      <c r="F57" s="1131"/>
      <c r="G57" s="1131" t="s">
        <v>740</v>
      </c>
      <c r="H57" s="1132" t="s">
        <v>1233</v>
      </c>
    </row>
    <row r="58" spans="1:8" ht="51">
      <c r="A58" s="1130" t="s">
        <v>1286</v>
      </c>
      <c r="B58" s="1131" t="s">
        <v>741</v>
      </c>
      <c r="C58" s="1131"/>
      <c r="D58" s="1131"/>
      <c r="E58" s="1131" t="s">
        <v>1146</v>
      </c>
      <c r="F58" s="1131"/>
      <c r="G58" s="1131" t="s">
        <v>743</v>
      </c>
      <c r="H58" s="1132" t="s">
        <v>1233</v>
      </c>
    </row>
    <row r="59" spans="1:8" ht="63" customHeight="1">
      <c r="A59" s="1132" t="s">
        <v>386</v>
      </c>
      <c r="B59" s="1131" t="s">
        <v>744</v>
      </c>
      <c r="C59" s="1131"/>
      <c r="D59" s="1131"/>
      <c r="E59" s="1131" t="s">
        <v>1147</v>
      </c>
      <c r="F59" s="1131" t="s">
        <v>1148</v>
      </c>
      <c r="G59" s="1131" t="s">
        <v>747</v>
      </c>
      <c r="H59" s="1132" t="s">
        <v>1287</v>
      </c>
    </row>
    <row r="60" spans="1:8" ht="89.25">
      <c r="A60" s="1130" t="s">
        <v>1288</v>
      </c>
      <c r="B60" s="1131" t="s">
        <v>748</v>
      </c>
      <c r="C60" s="1131"/>
      <c r="D60" s="1131"/>
      <c r="E60" s="1131" t="s">
        <v>1149</v>
      </c>
      <c r="F60" s="1131"/>
      <c r="G60" s="1131" t="s">
        <v>1192</v>
      </c>
      <c r="H60" s="1132" t="s">
        <v>1289</v>
      </c>
    </row>
    <row r="61" spans="1:8" ht="12.75">
      <c r="A61" s="1686" t="s">
        <v>648</v>
      </c>
      <c r="B61" s="1686"/>
      <c r="C61" s="1686"/>
      <c r="D61" s="1686"/>
      <c r="E61" s="1686"/>
      <c r="F61" s="1686"/>
      <c r="G61" s="1686"/>
      <c r="H61" s="1686"/>
    </row>
    <row r="62" spans="1:8" ht="76.5">
      <c r="A62" s="1130" t="s">
        <v>1290</v>
      </c>
      <c r="B62" s="1131" t="s">
        <v>750</v>
      </c>
      <c r="C62" s="1131"/>
      <c r="D62" s="1131" t="s">
        <v>1150</v>
      </c>
      <c r="E62" s="1131" t="s">
        <v>1151</v>
      </c>
      <c r="F62" s="1131" t="s">
        <v>1152</v>
      </c>
      <c r="G62" s="1131" t="s">
        <v>754</v>
      </c>
      <c r="H62" s="1132" t="s">
        <v>1291</v>
      </c>
    </row>
    <row r="63" spans="1:8" ht="12.75">
      <c r="A63" s="1685" t="s">
        <v>1293</v>
      </c>
      <c r="B63" s="1685"/>
      <c r="C63" s="1685"/>
      <c r="D63" s="1685"/>
      <c r="E63" s="1685"/>
      <c r="F63" s="1685"/>
      <c r="G63" s="1685"/>
      <c r="H63" s="1685"/>
    </row>
    <row r="64" spans="1:8" ht="12.75">
      <c r="A64" s="1686" t="s">
        <v>669</v>
      </c>
      <c r="B64" s="1686"/>
      <c r="C64" s="1686"/>
      <c r="D64" s="1686"/>
      <c r="E64" s="1686"/>
      <c r="F64" s="1686"/>
      <c r="G64" s="1686"/>
      <c r="H64" s="1686"/>
    </row>
    <row r="65" spans="1:8" ht="102">
      <c r="A65" s="1130" t="s">
        <v>1292</v>
      </c>
      <c r="B65" s="1131" t="s">
        <v>1238</v>
      </c>
      <c r="C65" s="1131"/>
      <c r="D65" s="1131"/>
      <c r="E65" s="1131"/>
      <c r="F65" s="1131" t="s">
        <v>1166</v>
      </c>
      <c r="G65" s="1131" t="s">
        <v>1165</v>
      </c>
      <c r="H65" s="1132" t="s">
        <v>1239</v>
      </c>
    </row>
    <row r="66" spans="1:8" ht="127.5">
      <c r="A66" s="1130" t="s">
        <v>1294</v>
      </c>
      <c r="B66" s="1131" t="s">
        <v>759</v>
      </c>
      <c r="C66" s="1131"/>
      <c r="D66" s="1131"/>
      <c r="E66" s="1131" t="s">
        <v>1153</v>
      </c>
      <c r="F66" s="1131"/>
      <c r="G66" s="1131" t="s">
        <v>761</v>
      </c>
      <c r="H66" s="1132" t="s">
        <v>1233</v>
      </c>
    </row>
    <row r="67" spans="1:8" ht="69" customHeight="1">
      <c r="A67" s="1130" t="s">
        <v>1295</v>
      </c>
      <c r="B67" s="1131" t="s">
        <v>1224</v>
      </c>
      <c r="C67" s="1131"/>
      <c r="D67" s="1131"/>
      <c r="E67" s="1131"/>
      <c r="F67" s="1131" t="s">
        <v>1225</v>
      </c>
      <c r="G67" s="1131" t="s">
        <v>1226</v>
      </c>
      <c r="H67" s="1132" t="s">
        <v>1240</v>
      </c>
    </row>
    <row r="68" spans="1:8" ht="76.5">
      <c r="A68" s="1130" t="s">
        <v>1296</v>
      </c>
      <c r="B68" s="1131" t="s">
        <v>885</v>
      </c>
      <c r="C68" s="1131"/>
      <c r="D68" s="1131"/>
      <c r="E68" s="1131"/>
      <c r="F68" s="1131" t="s">
        <v>1178</v>
      </c>
      <c r="G68" s="1131" t="s">
        <v>1179</v>
      </c>
      <c r="H68" s="1132" t="s">
        <v>1241</v>
      </c>
    </row>
    <row r="69" spans="1:8" ht="12.75">
      <c r="A69" s="1686" t="s">
        <v>648</v>
      </c>
      <c r="B69" s="1686"/>
      <c r="C69" s="1686"/>
      <c r="D69" s="1686"/>
      <c r="E69" s="1686"/>
      <c r="F69" s="1686"/>
      <c r="G69" s="1686"/>
      <c r="H69" s="1686"/>
    </row>
    <row r="70" spans="1:8" ht="51.75" customHeight="1">
      <c r="A70" s="1130" t="s">
        <v>1297</v>
      </c>
      <c r="B70" s="1131" t="s">
        <v>1298</v>
      </c>
      <c r="C70" s="1131"/>
      <c r="D70" s="1131"/>
      <c r="E70" s="1131"/>
      <c r="F70" s="1131" t="s">
        <v>1169</v>
      </c>
      <c r="G70" s="1131" t="s">
        <v>1168</v>
      </c>
      <c r="H70" s="1132" t="s">
        <v>1242</v>
      </c>
    </row>
    <row r="71" spans="1:8" ht="12.75">
      <c r="A71" s="1685" t="s">
        <v>1301</v>
      </c>
      <c r="B71" s="1685"/>
      <c r="C71" s="1685"/>
      <c r="D71" s="1685"/>
      <c r="E71" s="1685"/>
      <c r="F71" s="1685"/>
      <c r="G71" s="1685"/>
      <c r="H71" s="1685"/>
    </row>
    <row r="72" spans="1:8" ht="12.75">
      <c r="A72" s="1686" t="s">
        <v>669</v>
      </c>
      <c r="B72" s="1686"/>
      <c r="C72" s="1686"/>
      <c r="D72" s="1686"/>
      <c r="E72" s="1686"/>
      <c r="F72" s="1686"/>
      <c r="G72" s="1686"/>
      <c r="H72" s="1686"/>
    </row>
    <row r="73" spans="1:8" ht="63.75">
      <c r="A73" s="1130" t="s">
        <v>1299</v>
      </c>
      <c r="B73" s="1131" t="s">
        <v>769</v>
      </c>
      <c r="C73" s="1131"/>
      <c r="D73" s="1131"/>
      <c r="E73" s="1131" t="s">
        <v>1154</v>
      </c>
      <c r="F73" s="1134" t="s">
        <v>1300</v>
      </c>
      <c r="G73" s="1131" t="s">
        <v>771</v>
      </c>
      <c r="H73" s="1132" t="s">
        <v>1233</v>
      </c>
    </row>
    <row r="74" spans="1:8" ht="76.5">
      <c r="A74" s="1130" t="s">
        <v>1302</v>
      </c>
      <c r="B74" s="1131" t="s">
        <v>772</v>
      </c>
      <c r="C74" s="1131"/>
      <c r="D74" s="1131" t="s">
        <v>773</v>
      </c>
      <c r="E74" s="1131" t="s">
        <v>774</v>
      </c>
      <c r="F74" s="1131" t="s">
        <v>775</v>
      </c>
      <c r="G74" s="1131" t="s">
        <v>776</v>
      </c>
      <c r="H74" s="1132" t="s">
        <v>1233</v>
      </c>
    </row>
    <row r="75" spans="1:8" ht="12.75">
      <c r="A75" s="1686" t="s">
        <v>648</v>
      </c>
      <c r="B75" s="1686"/>
      <c r="C75" s="1686"/>
      <c r="D75" s="1686"/>
      <c r="E75" s="1686"/>
      <c r="F75" s="1686"/>
      <c r="G75" s="1686"/>
      <c r="H75" s="1686"/>
    </row>
    <row r="76" spans="1:8" ht="63.75">
      <c r="A76" s="1130" t="s">
        <v>1303</v>
      </c>
      <c r="B76" s="1131" t="s">
        <v>777</v>
      </c>
      <c r="C76" s="1131"/>
      <c r="D76" s="1131"/>
      <c r="E76" s="1131" t="s">
        <v>778</v>
      </c>
      <c r="F76" s="1131" t="s">
        <v>779</v>
      </c>
      <c r="G76" s="1131" t="s">
        <v>780</v>
      </c>
      <c r="H76" s="1132" t="s">
        <v>1233</v>
      </c>
    </row>
  </sheetData>
  <sheetProtection/>
  <mergeCells count="33">
    <mergeCell ref="A75:H75"/>
    <mergeCell ref="A61:H61"/>
    <mergeCell ref="A63:H63"/>
    <mergeCell ref="A64:H64"/>
    <mergeCell ref="A69:H69"/>
    <mergeCell ref="A71:H71"/>
    <mergeCell ref="A72:H72"/>
    <mergeCell ref="A55:H55"/>
    <mergeCell ref="A56:H56"/>
    <mergeCell ref="A53:H53"/>
    <mergeCell ref="B47:G47"/>
    <mergeCell ref="A49:H49"/>
    <mergeCell ref="A50:H50"/>
    <mergeCell ref="A51:H51"/>
    <mergeCell ref="A39:H39"/>
    <mergeCell ref="A41:H41"/>
    <mergeCell ref="A42:H42"/>
    <mergeCell ref="A43:G43"/>
    <mergeCell ref="A34:H34"/>
    <mergeCell ref="A20:H20"/>
    <mergeCell ref="A22:H22"/>
    <mergeCell ref="A23:H23"/>
    <mergeCell ref="A24:H24"/>
    <mergeCell ref="A29:H29"/>
    <mergeCell ref="A33:H33"/>
    <mergeCell ref="A17:H17"/>
    <mergeCell ref="A18:H18"/>
    <mergeCell ref="A2:H2"/>
    <mergeCell ref="A3:A4"/>
    <mergeCell ref="B3:H4"/>
    <mergeCell ref="A13:H13"/>
    <mergeCell ref="A14:H14"/>
    <mergeCell ref="A15:H15"/>
  </mergeCells>
  <printOptions/>
  <pageMargins left="0.511811024" right="0.511811024" top="0.787401575" bottom="0.787401575" header="0.31496062" footer="0.3149606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CA55"/>
  <sheetViews>
    <sheetView zoomScalePageLayoutView="0" workbookViewId="0" topLeftCell="A1">
      <selection activeCell="A52" sqref="A52"/>
    </sheetView>
  </sheetViews>
  <sheetFormatPr defaultColWidth="9.140625" defaultRowHeight="12.75"/>
  <cols>
    <col min="1" max="1" width="26.28125" style="992" customWidth="1"/>
    <col min="2" max="4" width="28.140625" style="992" customWidth="1"/>
    <col min="5" max="5" width="18.28125" style="992" customWidth="1"/>
    <col min="6" max="6" width="14.421875" style="992" customWidth="1"/>
    <col min="7" max="16384" width="9.140625" style="992" customWidth="1"/>
  </cols>
  <sheetData>
    <row r="1" spans="1:79" s="991" customFormat="1" ht="30.75" customHeight="1" thickBot="1">
      <c r="A1" s="985"/>
      <c r="B1" s="986"/>
      <c r="C1" s="951"/>
      <c r="D1" s="951"/>
      <c r="E1" s="951"/>
      <c r="F1" s="951"/>
      <c r="G1" s="951"/>
      <c r="H1" s="951"/>
      <c r="I1" s="111"/>
      <c r="J1" s="951"/>
      <c r="K1" s="987"/>
      <c r="L1" s="988"/>
      <c r="M1" s="988"/>
      <c r="N1" s="988"/>
      <c r="O1" s="988"/>
      <c r="P1" s="988"/>
      <c r="Q1" s="45"/>
      <c r="R1" s="989"/>
      <c r="S1" s="989"/>
      <c r="T1" s="988"/>
      <c r="U1" s="988"/>
      <c r="V1" s="988"/>
      <c r="W1" s="45"/>
      <c r="X1" s="45"/>
      <c r="Y1" s="990"/>
      <c r="Z1" s="989"/>
      <c r="AA1" s="989"/>
      <c r="AB1" s="989"/>
      <c r="AC1" s="988"/>
      <c r="AD1" s="988"/>
      <c r="AE1" s="988"/>
      <c r="AF1" s="988"/>
      <c r="AG1" s="988"/>
      <c r="AH1" s="988"/>
      <c r="AI1" s="988"/>
      <c r="AJ1" s="45"/>
      <c r="AK1" s="45"/>
      <c r="AL1" s="990"/>
      <c r="AM1" s="989"/>
      <c r="AN1" s="989"/>
      <c r="AO1" s="989"/>
      <c r="AP1" s="988"/>
      <c r="AQ1" s="988"/>
      <c r="AR1" s="988"/>
      <c r="AS1" s="988"/>
      <c r="AT1" s="988"/>
      <c r="AU1" s="988"/>
      <c r="AV1" s="988"/>
      <c r="AW1" s="45"/>
      <c r="AX1" s="45"/>
      <c r="AY1" s="990"/>
      <c r="AZ1" s="989"/>
      <c r="BA1" s="989"/>
      <c r="BB1" s="989"/>
      <c r="BC1" s="988"/>
      <c r="BD1" s="988"/>
      <c r="BE1" s="988"/>
      <c r="BF1" s="988"/>
      <c r="BG1" s="988"/>
      <c r="BH1" s="988"/>
      <c r="BI1" s="988"/>
      <c r="BJ1" s="985"/>
      <c r="BK1" s="985"/>
      <c r="BL1" s="985"/>
      <c r="BM1" s="985"/>
      <c r="BN1" s="985"/>
      <c r="BO1" s="985"/>
      <c r="BP1" s="985"/>
      <c r="BQ1" s="985"/>
      <c r="BR1" s="985"/>
      <c r="BS1" s="985"/>
      <c r="BT1" s="985"/>
      <c r="BU1" s="985"/>
      <c r="BV1" s="985"/>
      <c r="BW1" s="985"/>
      <c r="BX1" s="985"/>
      <c r="BY1" s="985"/>
      <c r="BZ1" s="985"/>
      <c r="CA1" s="985"/>
    </row>
    <row r="2" spans="1:4" ht="16.5" thickBot="1">
      <c r="A2" s="1698" t="s">
        <v>1107</v>
      </c>
      <c r="B2" s="1699"/>
      <c r="C2" s="1699"/>
      <c r="D2" s="1700"/>
    </row>
    <row r="3" spans="1:4" ht="12.75">
      <c r="A3" s="1701" t="s">
        <v>788</v>
      </c>
      <c r="B3" s="1701" t="s">
        <v>114</v>
      </c>
      <c r="C3" s="1701" t="s">
        <v>789</v>
      </c>
      <c r="D3" s="1701"/>
    </row>
    <row r="4" spans="1:4" ht="12.75">
      <c r="A4" s="1694"/>
      <c r="B4" s="1694"/>
      <c r="C4" s="1005" t="s">
        <v>790</v>
      </c>
      <c r="D4" s="1005" t="s">
        <v>791</v>
      </c>
    </row>
    <row r="5" spans="1:4" ht="12.75">
      <c r="A5" s="996" t="s">
        <v>792</v>
      </c>
      <c r="B5" s="1691" t="s">
        <v>793</v>
      </c>
      <c r="C5" s="1691" t="s">
        <v>794</v>
      </c>
      <c r="D5" s="1691" t="s">
        <v>311</v>
      </c>
    </row>
    <row r="6" spans="1:4" ht="12.75">
      <c r="A6" s="996" t="s">
        <v>795</v>
      </c>
      <c r="B6" s="1691"/>
      <c r="C6" s="1691"/>
      <c r="D6" s="1691"/>
    </row>
    <row r="7" spans="1:4" ht="12.75">
      <c r="A7" s="996" t="s">
        <v>796</v>
      </c>
      <c r="B7" s="1691"/>
      <c r="C7" s="1691"/>
      <c r="D7" s="1691"/>
    </row>
    <row r="8" spans="1:4" ht="12.75">
      <c r="A8" s="996" t="s">
        <v>797</v>
      </c>
      <c r="B8" s="1691"/>
      <c r="C8" s="1691"/>
      <c r="D8" s="1691"/>
    </row>
    <row r="9" spans="1:4" ht="12.75">
      <c r="A9" s="996" t="s">
        <v>798</v>
      </c>
      <c r="B9" s="1691"/>
      <c r="C9" s="1691"/>
      <c r="D9" s="1691"/>
    </row>
    <row r="10" spans="1:4" ht="12.75">
      <c r="A10" s="996" t="s">
        <v>799</v>
      </c>
      <c r="B10" s="1691"/>
      <c r="C10" s="1691"/>
      <c r="D10" s="1691"/>
    </row>
    <row r="11" ht="15.75">
      <c r="A11" s="1006"/>
    </row>
    <row r="12" spans="1:6" ht="12.75">
      <c r="A12" s="1005" t="s">
        <v>800</v>
      </c>
      <c r="B12" s="1694" t="s">
        <v>580</v>
      </c>
      <c r="C12" s="1694"/>
      <c r="D12" s="1694" t="s">
        <v>114</v>
      </c>
      <c r="E12" s="1694" t="s">
        <v>789</v>
      </c>
      <c r="F12" s="1694"/>
    </row>
    <row r="13" spans="1:6" ht="12.75">
      <c r="A13" s="1005" t="s">
        <v>801</v>
      </c>
      <c r="B13" s="1694"/>
      <c r="C13" s="1694"/>
      <c r="D13" s="1694"/>
      <c r="E13" s="1694"/>
      <c r="F13" s="1694"/>
    </row>
    <row r="14" spans="1:6" ht="12.75">
      <c r="A14" s="1005" t="s">
        <v>802</v>
      </c>
      <c r="B14" s="1694"/>
      <c r="C14" s="1694"/>
      <c r="D14" s="1694"/>
      <c r="E14" s="1694"/>
      <c r="F14" s="1694"/>
    </row>
    <row r="15" spans="1:6" ht="25.5">
      <c r="A15" s="1007" t="s">
        <v>803</v>
      </c>
      <c r="B15" s="1005" t="s">
        <v>804</v>
      </c>
      <c r="C15" s="1005" t="s">
        <v>805</v>
      </c>
      <c r="D15" s="1694"/>
      <c r="E15" s="1005" t="s">
        <v>790</v>
      </c>
      <c r="F15" s="1005" t="s">
        <v>791</v>
      </c>
    </row>
    <row r="16" spans="1:6" ht="12.75">
      <c r="A16" s="999" t="s">
        <v>1498</v>
      </c>
      <c r="B16" s="1135" t="s">
        <v>1208</v>
      </c>
      <c r="C16" s="994"/>
      <c r="D16" s="1135" t="s">
        <v>1219</v>
      </c>
      <c r="E16" s="1002" t="s">
        <v>1212</v>
      </c>
      <c r="F16" s="1002" t="s">
        <v>1212</v>
      </c>
    </row>
    <row r="17" spans="1:6" ht="25.5">
      <c r="A17" s="994" t="s">
        <v>1499</v>
      </c>
      <c r="B17" s="994" t="s">
        <v>326</v>
      </c>
      <c r="C17" s="994"/>
      <c r="D17" s="994" t="s">
        <v>1210</v>
      </c>
      <c r="E17" s="996" t="s">
        <v>1211</v>
      </c>
      <c r="F17" s="996" t="s">
        <v>1211</v>
      </c>
    </row>
    <row r="18" spans="1:6" ht="12.75">
      <c r="A18" s="994" t="s">
        <v>1500</v>
      </c>
      <c r="B18" s="994" t="s">
        <v>327</v>
      </c>
      <c r="C18" s="994"/>
      <c r="D18" s="994" t="s">
        <v>1210</v>
      </c>
      <c r="E18" s="996" t="s">
        <v>1211</v>
      </c>
      <c r="F18" s="996" t="s">
        <v>1211</v>
      </c>
    </row>
    <row r="19" spans="1:6" ht="51">
      <c r="A19" s="993" t="s">
        <v>1502</v>
      </c>
      <c r="B19" s="994"/>
      <c r="C19" s="994" t="s">
        <v>286</v>
      </c>
      <c r="D19" s="994" t="s">
        <v>310</v>
      </c>
      <c r="E19" s="996" t="s">
        <v>311</v>
      </c>
      <c r="F19" s="996" t="s">
        <v>311</v>
      </c>
    </row>
    <row r="20" spans="1:6" ht="51">
      <c r="A20" s="994" t="s">
        <v>818</v>
      </c>
      <c r="B20" s="994" t="s">
        <v>1218</v>
      </c>
      <c r="C20" s="1008"/>
      <c r="D20" s="994" t="s">
        <v>310</v>
      </c>
      <c r="E20" s="996" t="s">
        <v>311</v>
      </c>
      <c r="F20" s="996" t="s">
        <v>311</v>
      </c>
    </row>
    <row r="21" spans="1:6" ht="76.5">
      <c r="A21" s="999" t="s">
        <v>820</v>
      </c>
      <c r="B21" s="994" t="s">
        <v>329</v>
      </c>
      <c r="C21" s="994"/>
      <c r="D21" s="994" t="s">
        <v>310</v>
      </c>
      <c r="E21" s="1002" t="s">
        <v>311</v>
      </c>
      <c r="F21" s="1002" t="s">
        <v>311</v>
      </c>
    </row>
    <row r="22" spans="1:6" ht="51">
      <c r="A22" s="1278" t="s">
        <v>1222</v>
      </c>
      <c r="B22" s="1279" t="s">
        <v>330</v>
      </c>
      <c r="C22" s="1279"/>
      <c r="D22" s="1279"/>
      <c r="E22" s="996"/>
      <c r="F22" s="996" t="s">
        <v>311</v>
      </c>
    </row>
    <row r="23" spans="1:6" ht="32.25" customHeight="1">
      <c r="A23" s="999" t="s">
        <v>822</v>
      </c>
      <c r="B23" s="994" t="s">
        <v>331</v>
      </c>
      <c r="C23" s="994"/>
      <c r="D23" s="994" t="s">
        <v>310</v>
      </c>
      <c r="E23" s="1002" t="s">
        <v>311</v>
      </c>
      <c r="F23" s="1002" t="s">
        <v>311</v>
      </c>
    </row>
    <row r="24" spans="1:6" ht="25.5">
      <c r="A24" s="993" t="s">
        <v>1503</v>
      </c>
      <c r="B24" s="994"/>
      <c r="C24" s="994" t="s">
        <v>298</v>
      </c>
      <c r="D24" s="994" t="s">
        <v>312</v>
      </c>
      <c r="E24" s="996" t="s">
        <v>313</v>
      </c>
      <c r="F24" s="996" t="s">
        <v>311</v>
      </c>
    </row>
    <row r="25" spans="1:6" ht="12.75">
      <c r="A25" s="993" t="s">
        <v>1504</v>
      </c>
      <c r="B25" s="994"/>
      <c r="C25" s="994" t="s">
        <v>300</v>
      </c>
      <c r="D25" s="994" t="s">
        <v>314</v>
      </c>
      <c r="E25" s="996" t="s">
        <v>311</v>
      </c>
      <c r="F25" s="996" t="s">
        <v>311</v>
      </c>
    </row>
    <row r="26" spans="1:6" ht="38.25">
      <c r="A26" s="993" t="s">
        <v>1505</v>
      </c>
      <c r="B26" s="994"/>
      <c r="C26" s="994" t="s">
        <v>817</v>
      </c>
      <c r="D26" s="994" t="s">
        <v>315</v>
      </c>
      <c r="E26" s="996" t="s">
        <v>313</v>
      </c>
      <c r="F26" s="996" t="s">
        <v>311</v>
      </c>
    </row>
    <row r="27" spans="1:6" ht="25.5">
      <c r="A27" s="994" t="s">
        <v>1506</v>
      </c>
      <c r="B27" s="994" t="s">
        <v>332</v>
      </c>
      <c r="C27" s="994"/>
      <c r="D27" s="994" t="s">
        <v>819</v>
      </c>
      <c r="E27" s="996" t="s">
        <v>317</v>
      </c>
      <c r="F27" s="996" t="s">
        <v>311</v>
      </c>
    </row>
    <row r="28" spans="1:6" ht="51">
      <c r="A28" s="994" t="s">
        <v>1507</v>
      </c>
      <c r="B28" s="994" t="s">
        <v>333</v>
      </c>
      <c r="C28" s="994"/>
      <c r="D28" s="996" t="s">
        <v>821</v>
      </c>
      <c r="E28" s="996" t="s">
        <v>317</v>
      </c>
      <c r="F28" s="996" t="s">
        <v>311</v>
      </c>
    </row>
    <row r="29" spans="1:6" ht="38.25">
      <c r="A29" s="994" t="s">
        <v>1508</v>
      </c>
      <c r="B29" s="994" t="s">
        <v>334</v>
      </c>
      <c r="C29" s="994"/>
      <c r="D29" s="996" t="s">
        <v>823</v>
      </c>
      <c r="E29" s="996" t="s">
        <v>824</v>
      </c>
      <c r="F29" s="996" t="s">
        <v>311</v>
      </c>
    </row>
    <row r="30" spans="1:6" ht="38.25">
      <c r="A30" s="994" t="s">
        <v>1509</v>
      </c>
      <c r="B30" s="994" t="s">
        <v>335</v>
      </c>
      <c r="C30" s="1008"/>
      <c r="D30" s="996" t="s">
        <v>826</v>
      </c>
      <c r="E30" s="996" t="s">
        <v>313</v>
      </c>
      <c r="F30" s="996" t="s">
        <v>311</v>
      </c>
    </row>
    <row r="31" spans="1:6" ht="51">
      <c r="A31" s="993" t="s">
        <v>1510</v>
      </c>
      <c r="B31" s="994"/>
      <c r="C31" s="994" t="s">
        <v>303</v>
      </c>
      <c r="D31" s="996" t="s">
        <v>316</v>
      </c>
      <c r="E31" s="996" t="s">
        <v>317</v>
      </c>
      <c r="F31" s="996" t="s">
        <v>311</v>
      </c>
    </row>
    <row r="32" spans="1:6" ht="38.25">
      <c r="A32" s="994" t="s">
        <v>1511</v>
      </c>
      <c r="B32" s="994" t="s">
        <v>1513</v>
      </c>
      <c r="C32" s="994"/>
      <c r="D32" s="994" t="s">
        <v>829</v>
      </c>
      <c r="E32" s="996" t="s">
        <v>317</v>
      </c>
      <c r="F32" s="996" t="s">
        <v>311</v>
      </c>
    </row>
    <row r="33" spans="1:6" ht="38.25">
      <c r="A33" s="994" t="s">
        <v>1512</v>
      </c>
      <c r="B33" s="994" t="s">
        <v>1514</v>
      </c>
      <c r="C33" s="994"/>
      <c r="D33" s="994" t="s">
        <v>829</v>
      </c>
      <c r="E33" s="996" t="s">
        <v>317</v>
      </c>
      <c r="F33" s="996" t="s">
        <v>311</v>
      </c>
    </row>
    <row r="34" spans="1:6" ht="89.25">
      <c r="A34" s="999" t="s">
        <v>1515</v>
      </c>
      <c r="B34" s="994" t="s">
        <v>338</v>
      </c>
      <c r="C34" s="994"/>
      <c r="D34" s="994" t="s">
        <v>318</v>
      </c>
      <c r="E34" s="996" t="s">
        <v>317</v>
      </c>
      <c r="F34" s="996" t="s">
        <v>311</v>
      </c>
    </row>
    <row r="35" spans="1:6" ht="25.5">
      <c r="A35" s="999" t="s">
        <v>1517</v>
      </c>
      <c r="B35" s="994" t="s">
        <v>1516</v>
      </c>
      <c r="C35" s="994"/>
      <c r="D35" s="994" t="s">
        <v>881</v>
      </c>
      <c r="E35" s="1002" t="s">
        <v>317</v>
      </c>
      <c r="F35" s="1002" t="s">
        <v>311</v>
      </c>
    </row>
    <row r="36" spans="1:6" ht="51">
      <c r="A36" s="993" t="s">
        <v>1518</v>
      </c>
      <c r="B36" s="994"/>
      <c r="C36" s="994" t="s">
        <v>304</v>
      </c>
      <c r="D36" s="994" t="s">
        <v>318</v>
      </c>
      <c r="E36" s="996" t="s">
        <v>317</v>
      </c>
      <c r="F36" s="996" t="s">
        <v>311</v>
      </c>
    </row>
    <row r="37" spans="1:6" ht="25.5">
      <c r="A37" s="994" t="s">
        <v>836</v>
      </c>
      <c r="B37" s="994" t="s">
        <v>340</v>
      </c>
      <c r="C37" s="994"/>
      <c r="D37" s="996" t="s">
        <v>834</v>
      </c>
      <c r="E37" s="996" t="s">
        <v>317</v>
      </c>
      <c r="F37" s="996" t="s">
        <v>311</v>
      </c>
    </row>
    <row r="38" spans="1:6" ht="38.25">
      <c r="A38" s="993" t="s">
        <v>1519</v>
      </c>
      <c r="B38" s="994"/>
      <c r="C38" s="994" t="s">
        <v>306</v>
      </c>
      <c r="D38" s="994" t="s">
        <v>319</v>
      </c>
      <c r="E38" s="996" t="s">
        <v>320</v>
      </c>
      <c r="F38" s="996" t="s">
        <v>320</v>
      </c>
    </row>
    <row r="39" spans="1:6" ht="51">
      <c r="A39" s="994" t="s">
        <v>846</v>
      </c>
      <c r="B39" s="994" t="s">
        <v>341</v>
      </c>
      <c r="C39" s="994"/>
      <c r="D39" s="994" t="s">
        <v>837</v>
      </c>
      <c r="E39" s="996" t="s">
        <v>313</v>
      </c>
      <c r="F39" s="996" t="s">
        <v>311</v>
      </c>
    </row>
    <row r="40" spans="1:6" ht="25.5">
      <c r="A40" s="994" t="s">
        <v>849</v>
      </c>
      <c r="B40" s="994" t="s">
        <v>839</v>
      </c>
      <c r="C40" s="994"/>
      <c r="D40" s="994" t="s">
        <v>840</v>
      </c>
      <c r="E40" s="996" t="s">
        <v>317</v>
      </c>
      <c r="F40" s="996" t="s">
        <v>311</v>
      </c>
    </row>
    <row r="41" spans="1:6" ht="38.25">
      <c r="A41" s="1279" t="s">
        <v>1520</v>
      </c>
      <c r="B41" s="1279" t="s">
        <v>343</v>
      </c>
      <c r="C41" s="1279"/>
      <c r="D41" s="1279" t="s">
        <v>842</v>
      </c>
      <c r="E41" s="1280" t="s">
        <v>313</v>
      </c>
      <c r="F41" s="1280" t="s">
        <v>311</v>
      </c>
    </row>
    <row r="42" spans="1:6" ht="63.75">
      <c r="A42" s="994" t="s">
        <v>1521</v>
      </c>
      <c r="B42" s="994" t="s">
        <v>1190</v>
      </c>
      <c r="C42" s="994"/>
      <c r="D42" s="994" t="s">
        <v>844</v>
      </c>
      <c r="E42" s="996" t="s">
        <v>317</v>
      </c>
      <c r="F42" s="996" t="s">
        <v>311</v>
      </c>
    </row>
    <row r="43" spans="1:6" ht="63.75">
      <c r="A43" s="1000" t="s">
        <v>1522</v>
      </c>
      <c r="B43" s="1281"/>
      <c r="C43" s="1281" t="s">
        <v>1523</v>
      </c>
      <c r="D43" s="1281" t="s">
        <v>321</v>
      </c>
      <c r="E43" s="996" t="s">
        <v>311</v>
      </c>
      <c r="F43" s="996" t="s">
        <v>311</v>
      </c>
    </row>
    <row r="44" spans="1:6" ht="63.75">
      <c r="A44" s="1135" t="s">
        <v>1524</v>
      </c>
      <c r="B44" s="994" t="s">
        <v>345</v>
      </c>
      <c r="C44" s="994"/>
      <c r="D44" s="994" t="s">
        <v>847</v>
      </c>
      <c r="E44" s="996" t="s">
        <v>848</v>
      </c>
      <c r="F44" s="996" t="s">
        <v>311</v>
      </c>
    </row>
    <row r="45" spans="1:6" ht="38.25">
      <c r="A45" s="994" t="s">
        <v>856</v>
      </c>
      <c r="B45" s="994" t="s">
        <v>346</v>
      </c>
      <c r="C45" s="994"/>
      <c r="D45" s="994" t="s">
        <v>850</v>
      </c>
      <c r="E45" s="996" t="s">
        <v>851</v>
      </c>
      <c r="F45" s="996" t="s">
        <v>311</v>
      </c>
    </row>
    <row r="46" spans="1:6" ht="38.25">
      <c r="A46" s="994" t="s">
        <v>1525</v>
      </c>
      <c r="B46" s="994" t="s">
        <v>347</v>
      </c>
      <c r="C46" s="994"/>
      <c r="D46" s="994" t="s">
        <v>853</v>
      </c>
      <c r="E46" s="996" t="s">
        <v>311</v>
      </c>
      <c r="F46" s="996" t="s">
        <v>311</v>
      </c>
    </row>
    <row r="47" spans="1:6" ht="12.75">
      <c r="A47" s="1099" t="s">
        <v>1526</v>
      </c>
      <c r="B47" s="994" t="s">
        <v>884</v>
      </c>
      <c r="C47" s="994"/>
      <c r="D47" s="994" t="s">
        <v>1174</v>
      </c>
      <c r="E47" s="1002" t="s">
        <v>1175</v>
      </c>
      <c r="F47" s="1002" t="s">
        <v>1170</v>
      </c>
    </row>
    <row r="48" spans="1:6" ht="51">
      <c r="A48" s="999" t="s">
        <v>1527</v>
      </c>
      <c r="B48" s="994" t="s">
        <v>1180</v>
      </c>
      <c r="C48" s="994"/>
      <c r="D48" s="994" t="s">
        <v>310</v>
      </c>
      <c r="E48" s="1002" t="s">
        <v>311</v>
      </c>
      <c r="F48" s="1002" t="s">
        <v>311</v>
      </c>
    </row>
    <row r="49" spans="1:6" ht="25.5">
      <c r="A49" s="1152" t="s">
        <v>1528</v>
      </c>
      <c r="B49" s="1099"/>
      <c r="C49" s="1099" t="s">
        <v>1176</v>
      </c>
      <c r="D49" s="1099" t="s">
        <v>1174</v>
      </c>
      <c r="E49" s="1002" t="s">
        <v>317</v>
      </c>
      <c r="F49" s="1002" t="s">
        <v>1170</v>
      </c>
    </row>
    <row r="50" spans="1:6" ht="38.25">
      <c r="A50" s="994" t="s">
        <v>1529</v>
      </c>
      <c r="B50" s="994" t="s">
        <v>349</v>
      </c>
      <c r="C50" s="994"/>
      <c r="D50" s="994" t="s">
        <v>310</v>
      </c>
      <c r="E50" s="996" t="s">
        <v>311</v>
      </c>
      <c r="F50" s="996" t="s">
        <v>311</v>
      </c>
    </row>
    <row r="51" spans="1:6" ht="38.25">
      <c r="A51" s="994" t="s">
        <v>1530</v>
      </c>
      <c r="B51" s="994" t="s">
        <v>1193</v>
      </c>
      <c r="C51" s="994"/>
      <c r="D51" s="994" t="s">
        <v>310</v>
      </c>
      <c r="E51" s="996" t="s">
        <v>311</v>
      </c>
      <c r="F51" s="996" t="s">
        <v>311</v>
      </c>
    </row>
    <row r="52" spans="1:6" ht="38.25">
      <c r="A52" s="993" t="s">
        <v>1531</v>
      </c>
      <c r="B52" s="994"/>
      <c r="C52" s="994" t="s">
        <v>309</v>
      </c>
      <c r="D52" s="994" t="s">
        <v>310</v>
      </c>
      <c r="E52" s="996" t="s">
        <v>311</v>
      </c>
      <c r="F52" s="996" t="s">
        <v>311</v>
      </c>
    </row>
    <row r="55" ht="12.75">
      <c r="A55" s="1009" t="s">
        <v>858</v>
      </c>
    </row>
  </sheetData>
  <sheetProtection/>
  <mergeCells count="10">
    <mergeCell ref="B12:C14"/>
    <mergeCell ref="D12:D15"/>
    <mergeCell ref="E12:F14"/>
    <mergeCell ref="A2:D2"/>
    <mergeCell ref="A3:A4"/>
    <mergeCell ref="B3:B4"/>
    <mergeCell ref="C3:D3"/>
    <mergeCell ref="B5:B10"/>
    <mergeCell ref="C5:C10"/>
    <mergeCell ref="D5:D10"/>
  </mergeCells>
  <hyperlinks>
    <hyperlink ref="A15" location="_ftn1" display="_ftn1"/>
    <hyperlink ref="A55" location="_ftnref1" display="_ftnref1"/>
  </hyperlinks>
  <printOptions/>
  <pageMargins left="0.511811024" right="0.511811024" top="0.787401575" bottom="0.787401575" header="0.31496062" footer="0.31496062"/>
  <pageSetup orientation="portrait" paperSize="9"/>
  <drawing r:id="rId1"/>
</worksheet>
</file>

<file path=xl/worksheets/sheet3.xml><?xml version="1.0" encoding="utf-8"?>
<worksheet xmlns="http://schemas.openxmlformats.org/spreadsheetml/2006/main" xmlns:r="http://schemas.openxmlformats.org/officeDocument/2006/relationships">
  <dimension ref="A1:D53"/>
  <sheetViews>
    <sheetView showGridLines="0" zoomScalePageLayoutView="0" workbookViewId="0" topLeftCell="A1">
      <selection activeCell="B33" sqref="B33"/>
    </sheetView>
  </sheetViews>
  <sheetFormatPr defaultColWidth="9.140625" defaultRowHeight="12.75"/>
  <cols>
    <col min="1" max="1" width="45.7109375" style="18" customWidth="1"/>
    <col min="2" max="2" width="66.28125" style="19" customWidth="1"/>
    <col min="3" max="3" width="17.28125" style="19" customWidth="1"/>
    <col min="4" max="4" width="19.28125" style="19" customWidth="1"/>
    <col min="5" max="5" width="10.140625" style="19" bestFit="1" customWidth="1"/>
    <col min="6" max="16384" width="9.140625" style="19" customWidth="1"/>
  </cols>
  <sheetData>
    <row r="1" spans="1:4" ht="36" customHeight="1" thickBot="1">
      <c r="A1" s="1292"/>
      <c r="B1" s="1293"/>
      <c r="C1" s="104"/>
      <c r="D1" s="104"/>
    </row>
    <row r="2" spans="1:2" s="107" customFormat="1" ht="16.5" thickBot="1">
      <c r="A2" s="1298" t="s">
        <v>578</v>
      </c>
      <c r="B2" s="1299"/>
    </row>
    <row r="3" spans="1:2" s="9" customFormat="1" ht="15.75">
      <c r="A3" s="1296" t="s">
        <v>231</v>
      </c>
      <c r="B3" s="1297"/>
    </row>
    <row r="4" spans="1:2" ht="15.75">
      <c r="A4" s="12" t="s">
        <v>615</v>
      </c>
      <c r="B4" s="513" t="s">
        <v>254</v>
      </c>
    </row>
    <row r="5" spans="1:2" ht="15" customHeight="1">
      <c r="A5" s="12" t="s">
        <v>616</v>
      </c>
      <c r="B5" s="513" t="s">
        <v>255</v>
      </c>
    </row>
    <row r="6" spans="1:2" ht="15.75">
      <c r="A6" s="12" t="s">
        <v>627</v>
      </c>
      <c r="B6" s="513" t="s">
        <v>256</v>
      </c>
    </row>
    <row r="7" spans="1:2" ht="15.75">
      <c r="A7" s="12" t="s">
        <v>617</v>
      </c>
      <c r="B7" s="513" t="s">
        <v>257</v>
      </c>
    </row>
    <row r="8" spans="1:2" ht="15.75">
      <c r="A8" s="12" t="s">
        <v>628</v>
      </c>
      <c r="B8" s="513" t="s">
        <v>258</v>
      </c>
    </row>
    <row r="9" spans="1:2" ht="15.75">
      <c r="A9" s="12" t="s">
        <v>630</v>
      </c>
      <c r="B9" s="513" t="s">
        <v>259</v>
      </c>
    </row>
    <row r="10" spans="1:2" ht="16.5" thickBot="1">
      <c r="A10" s="13" t="s">
        <v>618</v>
      </c>
      <c r="B10" s="519" t="s">
        <v>260</v>
      </c>
    </row>
    <row r="11" spans="1:2" s="9" customFormat="1" ht="16.5" customHeight="1">
      <c r="A11" s="1296" t="s">
        <v>7</v>
      </c>
      <c r="B11" s="1297"/>
    </row>
    <row r="12" spans="1:2" ht="30">
      <c r="A12" s="12" t="s">
        <v>8</v>
      </c>
      <c r="B12" s="518">
        <v>39757</v>
      </c>
    </row>
    <row r="13" spans="1:2" ht="15.75">
      <c r="A13" s="12" t="s">
        <v>631</v>
      </c>
      <c r="B13" s="518">
        <v>39953</v>
      </c>
    </row>
    <row r="14" spans="1:2" ht="30">
      <c r="A14" s="14" t="s">
        <v>452</v>
      </c>
      <c r="B14" s="518">
        <v>40088</v>
      </c>
    </row>
    <row r="15" spans="1:2" ht="16.5" thickBot="1">
      <c r="A15" s="15" t="s">
        <v>619</v>
      </c>
      <c r="B15" s="517">
        <v>40168</v>
      </c>
    </row>
    <row r="16" spans="1:2" s="9" customFormat="1" ht="15.75">
      <c r="A16" s="1296" t="s">
        <v>25</v>
      </c>
      <c r="B16" s="1297"/>
    </row>
    <row r="17" spans="1:2" ht="15.75">
      <c r="A17" s="12" t="s">
        <v>620</v>
      </c>
      <c r="B17" s="513" t="s">
        <v>261</v>
      </c>
    </row>
    <row r="18" spans="1:2" ht="15.75">
      <c r="A18" s="12" t="s">
        <v>629</v>
      </c>
      <c r="B18" s="513" t="s">
        <v>262</v>
      </c>
    </row>
    <row r="19" spans="1:2" ht="15.75">
      <c r="A19" s="12" t="s">
        <v>10</v>
      </c>
      <c r="B19" s="514">
        <v>41000000</v>
      </c>
    </row>
    <row r="20" spans="1:2" ht="15.75">
      <c r="A20" s="12" t="s">
        <v>621</v>
      </c>
      <c r="B20" s="513" t="s">
        <v>263</v>
      </c>
    </row>
    <row r="21" spans="1:2" ht="15.75">
      <c r="A21" s="12" t="s">
        <v>632</v>
      </c>
      <c r="B21" s="515" t="s">
        <v>264</v>
      </c>
    </row>
    <row r="22" spans="1:2" ht="15.75">
      <c r="A22" s="12" t="s">
        <v>11</v>
      </c>
      <c r="B22" s="514">
        <v>9000000</v>
      </c>
    </row>
    <row r="23" spans="1:2" ht="15.75">
      <c r="A23" s="12" t="s">
        <v>633</v>
      </c>
      <c r="B23" s="516">
        <v>186</v>
      </c>
    </row>
    <row r="24" spans="1:2" ht="15.75">
      <c r="A24" s="12" t="s">
        <v>12</v>
      </c>
      <c r="B24" s="514">
        <v>50000000</v>
      </c>
    </row>
    <row r="25" spans="1:2" ht="30.75" thickBot="1">
      <c r="A25" s="13" t="s">
        <v>646</v>
      </c>
      <c r="B25" s="517">
        <v>41414</v>
      </c>
    </row>
    <row r="26" spans="1:2" s="9" customFormat="1" ht="15.75">
      <c r="A26" s="1296" t="s">
        <v>194</v>
      </c>
      <c r="B26" s="1297"/>
    </row>
    <row r="27" spans="1:2" ht="15.75">
      <c r="A27" s="12" t="s">
        <v>2</v>
      </c>
      <c r="B27" s="505">
        <v>41414</v>
      </c>
    </row>
    <row r="28" spans="1:2" ht="15.75">
      <c r="A28" s="12" t="s">
        <v>3</v>
      </c>
      <c r="B28" s="507">
        <v>0</v>
      </c>
    </row>
    <row r="29" spans="1:4" ht="30">
      <c r="A29" s="12" t="s">
        <v>13</v>
      </c>
      <c r="B29" s="508">
        <v>20957533.42</v>
      </c>
      <c r="C29" s="485"/>
      <c r="D29" s="485"/>
    </row>
    <row r="30" spans="1:4" ht="15.75">
      <c r="A30" s="916" t="s">
        <v>4</v>
      </c>
      <c r="B30" s="509">
        <f>B29/B19</f>
        <v>0.5111593517073171</v>
      </c>
      <c r="D30" s="485"/>
    </row>
    <row r="31" spans="1:4" ht="30">
      <c r="A31" s="12" t="s">
        <v>14</v>
      </c>
      <c r="B31" s="510">
        <f>1720787.6+450291.48+555152.67+79938.3+29277.17</f>
        <v>2835447.2199999997</v>
      </c>
      <c r="D31" s="485"/>
    </row>
    <row r="32" spans="1:4" ht="15.75">
      <c r="A32" s="916" t="s">
        <v>5</v>
      </c>
      <c r="B32" s="511">
        <f>B31/B19</f>
        <v>0.06915724926829267</v>
      </c>
      <c r="C32" s="914"/>
      <c r="D32" s="485"/>
    </row>
    <row r="33" spans="1:4" ht="15.75">
      <c r="A33" s="12" t="s">
        <v>15</v>
      </c>
      <c r="B33" s="510">
        <f>1518861.62+523537.24+239134.33</f>
        <v>2281533.19</v>
      </c>
      <c r="D33" s="485"/>
    </row>
    <row r="34" spans="1:4" ht="15.75">
      <c r="A34" s="12" t="s">
        <v>9</v>
      </c>
      <c r="B34" s="512">
        <f>B33/B22</f>
        <v>0.25350368777777776</v>
      </c>
      <c r="C34" s="914"/>
      <c r="D34" s="485"/>
    </row>
    <row r="35" spans="1:4" ht="15.75">
      <c r="A35" s="12" t="s">
        <v>26</v>
      </c>
      <c r="B35" s="507">
        <f>21+4</f>
        <v>25</v>
      </c>
      <c r="D35" s="485"/>
    </row>
    <row r="36" spans="1:4" ht="30.75" thickBot="1">
      <c r="A36" s="13" t="s">
        <v>27</v>
      </c>
      <c r="B36" s="520">
        <f>14+4</f>
        <v>18</v>
      </c>
      <c r="D36" s="486"/>
    </row>
    <row r="37" spans="1:4" s="9" customFormat="1" ht="15.75">
      <c r="A37" s="1296" t="s">
        <v>195</v>
      </c>
      <c r="B37" s="1297"/>
      <c r="D37" s="915"/>
    </row>
    <row r="38" spans="1:4" ht="111" thickBot="1">
      <c r="A38" s="12" t="s">
        <v>623</v>
      </c>
      <c r="B38" s="377" t="s">
        <v>268</v>
      </c>
      <c r="D38" s="485"/>
    </row>
    <row r="39" spans="1:2" ht="48" thickBot="1">
      <c r="A39" s="13" t="s">
        <v>622</v>
      </c>
      <c r="B39" s="378" t="s">
        <v>1304</v>
      </c>
    </row>
    <row r="40" spans="1:2" s="9" customFormat="1" ht="15.75">
      <c r="A40" s="1296" t="s">
        <v>197</v>
      </c>
      <c r="B40" s="1297"/>
    </row>
    <row r="41" spans="1:2" ht="16.5" thickBot="1">
      <c r="A41" s="12" t="s">
        <v>6</v>
      </c>
      <c r="B41" s="377" t="s">
        <v>269</v>
      </c>
    </row>
    <row r="42" spans="1:2" ht="48" thickBot="1">
      <c r="A42" s="12" t="s">
        <v>623</v>
      </c>
      <c r="B42" s="377" t="s">
        <v>270</v>
      </c>
    </row>
    <row r="43" spans="1:2" ht="48" customHeight="1" thickBot="1">
      <c r="A43" s="13" t="s">
        <v>622</v>
      </c>
      <c r="B43" s="378" t="s">
        <v>1305</v>
      </c>
    </row>
    <row r="44" spans="1:2" s="9" customFormat="1" ht="15.75">
      <c r="A44" s="1294" t="s">
        <v>196</v>
      </c>
      <c r="B44" s="1295"/>
    </row>
    <row r="45" spans="1:2" ht="15.75">
      <c r="A45" s="12" t="s">
        <v>16</v>
      </c>
      <c r="B45" s="505">
        <v>40785</v>
      </c>
    </row>
    <row r="46" spans="1:2" ht="15.75">
      <c r="A46" s="12" t="s">
        <v>17</v>
      </c>
      <c r="B46" s="505">
        <v>40542</v>
      </c>
    </row>
    <row r="47" spans="1:2" ht="15.75">
      <c r="A47" s="12" t="s">
        <v>22</v>
      </c>
      <c r="B47" s="505" t="s">
        <v>1306</v>
      </c>
    </row>
    <row r="48" spans="1:2" ht="15.75">
      <c r="A48" s="14" t="s">
        <v>19</v>
      </c>
      <c r="B48" s="506">
        <v>40710</v>
      </c>
    </row>
    <row r="49" spans="1:2" ht="15.75">
      <c r="A49" s="12" t="s">
        <v>18</v>
      </c>
      <c r="B49" s="505">
        <v>41467</v>
      </c>
    </row>
    <row r="50" spans="1:2" ht="15.75">
      <c r="A50" s="12" t="s">
        <v>20</v>
      </c>
      <c r="B50" s="505">
        <v>39415</v>
      </c>
    </row>
    <row r="51" spans="1:2" ht="15.75" thickBot="1">
      <c r="A51" s="13" t="s">
        <v>21</v>
      </c>
      <c r="B51" s="105">
        <v>40666</v>
      </c>
    </row>
    <row r="52" spans="1:2" ht="16.5" customHeight="1">
      <c r="A52" s="16"/>
      <c r="B52" s="106"/>
    </row>
    <row r="53" spans="1:2" ht="15">
      <c r="A53" s="17"/>
      <c r="B53" s="106"/>
    </row>
  </sheetData>
  <sheetProtection/>
  <mergeCells count="9">
    <mergeCell ref="A1:B1"/>
    <mergeCell ref="A44:B44"/>
    <mergeCell ref="A37:B37"/>
    <mergeCell ref="A40:B40"/>
    <mergeCell ref="A3:B3"/>
    <mergeCell ref="A11:B11"/>
    <mergeCell ref="A16:B16"/>
    <mergeCell ref="A26:B26"/>
    <mergeCell ref="A2:B2"/>
  </mergeCells>
  <printOptions horizontalCentered="1" verticalCentered="1"/>
  <pageMargins left="0.5905511811023623" right="0.5905511811023623" top="0.3937007874015748" bottom="0.3937007874015748" header="0.31496062992125984" footer="0.31496062992125984"/>
  <pageSetup horizontalDpi="300" verticalDpi="300" orientation="portrait" paperSize="9" scale="75" r:id="rId4"/>
  <drawing r:id="rId3"/>
  <legacyDrawing r:id="rId2"/>
</worksheet>
</file>

<file path=xl/worksheets/sheet4.xml><?xml version="1.0" encoding="utf-8"?>
<worksheet xmlns="http://schemas.openxmlformats.org/spreadsheetml/2006/main" xmlns:r="http://schemas.openxmlformats.org/officeDocument/2006/relationships">
  <dimension ref="A1:BX76"/>
  <sheetViews>
    <sheetView showGridLines="0" zoomScale="75" zoomScaleNormal="75" zoomScalePageLayoutView="0" workbookViewId="0" topLeftCell="A22">
      <selection activeCell="I30" sqref="I30"/>
    </sheetView>
  </sheetViews>
  <sheetFormatPr defaultColWidth="9.140625" defaultRowHeight="12.75"/>
  <cols>
    <col min="1" max="1" width="45.140625" style="100" customWidth="1"/>
    <col min="2" max="2" width="12.8515625" style="44" customWidth="1"/>
    <col min="3" max="3" width="11.57421875" style="44" customWidth="1"/>
    <col min="4" max="4" width="6.57421875" style="44" bestFit="1" customWidth="1"/>
    <col min="5" max="5" width="13.28125" style="45" bestFit="1" customWidth="1"/>
    <col min="6" max="6" width="11.57421875" style="44" customWidth="1"/>
    <col min="7" max="7" width="13.28125" style="44" bestFit="1" customWidth="1"/>
    <col min="8" max="8" width="11.57421875" style="44" customWidth="1"/>
    <col min="9" max="9" width="13.28125" style="44" bestFit="1" customWidth="1"/>
    <col min="10" max="10" width="11.57421875" style="44" customWidth="1"/>
    <col min="11" max="11" width="13.28125" style="44" bestFit="1" customWidth="1"/>
    <col min="12" max="12" width="11.57421875" style="44" customWidth="1"/>
    <col min="13" max="13" width="13.28125" style="45" hidden="1" customWidth="1"/>
    <col min="14" max="14" width="11.57421875" style="47" hidden="1" customWidth="1"/>
    <col min="15" max="15" width="19.140625" style="47" customWidth="1"/>
    <col min="16" max="16" width="18.7109375" style="44" customWidth="1"/>
    <col min="17" max="18" width="7.140625" style="44" customWidth="1"/>
    <col min="19" max="20" width="7.140625" style="45" customWidth="1"/>
    <col min="21" max="21" width="7.140625" style="46" customWidth="1"/>
    <col min="22" max="24" width="7.140625" style="47" customWidth="1"/>
    <col min="25" max="31" width="7.140625" style="44" customWidth="1"/>
    <col min="32" max="33" width="7.140625" style="45" customWidth="1"/>
    <col min="34" max="34" width="7.140625" style="46" customWidth="1"/>
    <col min="35" max="37" width="7.140625" style="47" customWidth="1"/>
    <col min="38" max="44" width="7.140625" style="44" customWidth="1"/>
    <col min="45" max="45" width="6.140625" style="45" hidden="1" customWidth="1"/>
    <col min="46" max="46" width="4.28125" style="45" hidden="1" customWidth="1"/>
    <col min="47" max="47" width="25.7109375" style="46" hidden="1" customWidth="1"/>
    <col min="48" max="49" width="4.28125" style="47" hidden="1" customWidth="1"/>
    <col min="50" max="50" width="7.00390625" style="47" hidden="1" customWidth="1"/>
    <col min="51" max="52" width="4.28125" style="44" customWidth="1"/>
    <col min="53" max="53" width="7.421875" style="44" customWidth="1"/>
    <col min="54" max="55" width="4.28125" style="44" customWidth="1"/>
    <col min="56" max="57" width="7.421875" style="44" customWidth="1"/>
    <col min="58" max="58" width="16.421875" style="48" customWidth="1"/>
    <col min="59" max="59" width="10.140625" style="48" customWidth="1"/>
    <col min="60" max="60" width="13.140625" style="48" customWidth="1"/>
    <col min="61" max="61" width="12.421875" style="48" customWidth="1"/>
    <col min="62" max="62" width="12.140625" style="48" customWidth="1"/>
    <col min="63" max="63" width="12.8515625" style="48" customWidth="1"/>
    <col min="64" max="64" width="11.421875" style="48" customWidth="1"/>
    <col min="65" max="65" width="14.28125" style="48" bestFit="1" customWidth="1"/>
    <col min="66" max="67" width="9.28125" style="48" bestFit="1" customWidth="1"/>
    <col min="68" max="68" width="7.140625" style="48" customWidth="1"/>
    <col min="69" max="70" width="10.140625" style="48" bestFit="1" customWidth="1"/>
    <col min="71" max="71" width="5.57421875" style="48" bestFit="1" customWidth="1"/>
    <col min="72" max="72" width="10.140625" style="48" bestFit="1" customWidth="1"/>
    <col min="73" max="75" width="9.140625" style="48" customWidth="1"/>
    <col min="76" max="16384" width="9.140625" style="49" customWidth="1"/>
  </cols>
  <sheetData>
    <row r="1" spans="1:16" ht="36" customHeight="1" thickBot="1">
      <c r="A1" s="1300"/>
      <c r="B1" s="1301"/>
      <c r="C1" s="1301"/>
      <c r="D1" s="1301"/>
      <c r="E1" s="1301"/>
      <c r="F1" s="1301"/>
      <c r="G1" s="1301"/>
      <c r="H1" s="1301"/>
      <c r="I1" s="1301"/>
      <c r="J1" s="1301"/>
      <c r="K1" s="1301"/>
      <c r="L1" s="1301"/>
      <c r="M1" s="1301"/>
      <c r="N1" s="1301"/>
      <c r="O1" s="1301"/>
      <c r="P1" s="1302"/>
    </row>
    <row r="2" spans="1:16" s="9" customFormat="1" ht="16.5" thickBot="1">
      <c r="A2" s="1309" t="s">
        <v>97</v>
      </c>
      <c r="B2" s="1310"/>
      <c r="C2" s="1310"/>
      <c r="D2" s="1310"/>
      <c r="E2" s="1310"/>
      <c r="F2" s="1310"/>
      <c r="G2" s="1310"/>
      <c r="H2" s="1310"/>
      <c r="I2" s="1310"/>
      <c r="J2" s="1310"/>
      <c r="K2" s="1310"/>
      <c r="L2" s="1310"/>
      <c r="M2" s="1310"/>
      <c r="N2" s="1310"/>
      <c r="O2" s="1310"/>
      <c r="P2" s="1311"/>
    </row>
    <row r="3" spans="1:75" s="39" customFormat="1" ht="15.75">
      <c r="A3" s="1296" t="s">
        <v>96</v>
      </c>
      <c r="B3" s="1312"/>
      <c r="C3" s="1312"/>
      <c r="D3" s="1312"/>
      <c r="E3" s="1312"/>
      <c r="F3" s="1312"/>
      <c r="G3" s="1312"/>
      <c r="H3" s="1312"/>
      <c r="I3" s="1312"/>
      <c r="J3" s="1312"/>
      <c r="K3" s="1312"/>
      <c r="L3" s="1312"/>
      <c r="M3" s="1312"/>
      <c r="N3" s="1312"/>
      <c r="O3" s="42" t="s">
        <v>602</v>
      </c>
      <c r="P3" s="43" t="s">
        <v>579</v>
      </c>
      <c r="Q3" s="35"/>
      <c r="R3" s="35"/>
      <c r="S3" s="40"/>
      <c r="T3" s="40"/>
      <c r="U3" s="36"/>
      <c r="V3" s="37"/>
      <c r="W3" s="37"/>
      <c r="X3" s="37"/>
      <c r="Y3" s="35"/>
      <c r="Z3" s="35"/>
      <c r="AA3" s="35"/>
      <c r="AB3" s="35"/>
      <c r="AC3" s="35"/>
      <c r="AD3" s="35"/>
      <c r="AE3" s="35"/>
      <c r="AF3" s="40"/>
      <c r="AG3" s="40"/>
      <c r="AH3" s="36"/>
      <c r="AI3" s="37"/>
      <c r="AJ3" s="37"/>
      <c r="AK3" s="37"/>
      <c r="AL3" s="35"/>
      <c r="AM3" s="35"/>
      <c r="AN3" s="35"/>
      <c r="AO3" s="35"/>
      <c r="AP3" s="35"/>
      <c r="AQ3" s="35"/>
      <c r="AR3" s="35"/>
      <c r="AS3" s="40"/>
      <c r="AT3" s="40"/>
      <c r="AU3" s="36"/>
      <c r="AV3" s="37"/>
      <c r="AW3" s="37"/>
      <c r="AX3" s="37"/>
      <c r="AY3" s="35"/>
      <c r="AZ3" s="35"/>
      <c r="BA3" s="35"/>
      <c r="BB3" s="35"/>
      <c r="BC3" s="35"/>
      <c r="BD3" s="35"/>
      <c r="BE3" s="35"/>
      <c r="BF3" s="38"/>
      <c r="BG3" s="38"/>
      <c r="BH3" s="38"/>
      <c r="BI3" s="38"/>
      <c r="BJ3" s="38"/>
      <c r="BK3" s="38"/>
      <c r="BL3" s="38"/>
      <c r="BM3" s="38"/>
      <c r="BN3" s="38"/>
      <c r="BO3" s="38"/>
      <c r="BP3" s="38"/>
      <c r="BQ3" s="38"/>
      <c r="BR3" s="38"/>
      <c r="BS3" s="38"/>
      <c r="BT3" s="38"/>
      <c r="BU3" s="38"/>
      <c r="BV3" s="38"/>
      <c r="BW3" s="38"/>
    </row>
    <row r="4" spans="1:46" ht="28.5" customHeight="1">
      <c r="A4" s="1315" t="s">
        <v>601</v>
      </c>
      <c r="B4" s="1316"/>
      <c r="C4" s="1316"/>
      <c r="D4" s="1316"/>
      <c r="E4" s="1316"/>
      <c r="F4" s="1316"/>
      <c r="G4" s="1316"/>
      <c r="H4" s="1316"/>
      <c r="I4" s="1316"/>
      <c r="J4" s="1316"/>
      <c r="K4" s="1316"/>
      <c r="L4" s="1316"/>
      <c r="M4" s="1316"/>
      <c r="N4" s="1316"/>
      <c r="O4" s="218" t="s">
        <v>278</v>
      </c>
      <c r="P4" s="219" t="s">
        <v>279</v>
      </c>
      <c r="S4" s="50"/>
      <c r="T4" s="50"/>
      <c r="AF4" s="50"/>
      <c r="AG4" s="50"/>
      <c r="AS4" s="50"/>
      <c r="AT4" s="50"/>
    </row>
    <row r="5" spans="1:76" ht="15.75" customHeight="1">
      <c r="A5" s="1303" t="s">
        <v>580</v>
      </c>
      <c r="B5" s="1306" t="s">
        <v>611</v>
      </c>
      <c r="C5" s="1306"/>
      <c r="D5" s="1306"/>
      <c r="E5" s="1305" t="s">
        <v>271</v>
      </c>
      <c r="F5" s="1305"/>
      <c r="G5" s="1305" t="s">
        <v>272</v>
      </c>
      <c r="H5" s="1305"/>
      <c r="I5" s="1305" t="s">
        <v>273</v>
      </c>
      <c r="J5" s="1305"/>
      <c r="K5" s="1305" t="s">
        <v>274</v>
      </c>
      <c r="L5" s="1305"/>
      <c r="M5" s="1306" t="s">
        <v>100</v>
      </c>
      <c r="N5" s="1306"/>
      <c r="O5" s="1307" t="s">
        <v>581</v>
      </c>
      <c r="P5" s="1308" t="s">
        <v>579</v>
      </c>
      <c r="S5" s="44"/>
      <c r="T5" s="50"/>
      <c r="U5" s="50"/>
      <c r="V5" s="46"/>
      <c r="Y5" s="47"/>
      <c r="AF5" s="44"/>
      <c r="AG5" s="50"/>
      <c r="AH5" s="50"/>
      <c r="AI5" s="46"/>
      <c r="AL5" s="47"/>
      <c r="AS5" s="44"/>
      <c r="AT5" s="50"/>
      <c r="AU5" s="50"/>
      <c r="AV5" s="46"/>
      <c r="AY5" s="47"/>
      <c r="BF5" s="44"/>
      <c r="BX5" s="48"/>
    </row>
    <row r="6" spans="1:76" ht="40.5" customHeight="1">
      <c r="A6" s="1304"/>
      <c r="B6" s="387" t="s">
        <v>582</v>
      </c>
      <c r="C6" s="388" t="s">
        <v>583</v>
      </c>
      <c r="D6" s="389" t="s">
        <v>586</v>
      </c>
      <c r="E6" s="389" t="s">
        <v>587</v>
      </c>
      <c r="F6" s="386" t="s">
        <v>588</v>
      </c>
      <c r="G6" s="389" t="s">
        <v>587</v>
      </c>
      <c r="H6" s="386" t="s">
        <v>588</v>
      </c>
      <c r="I6" s="389" t="s">
        <v>587</v>
      </c>
      <c r="J6" s="386" t="s">
        <v>588</v>
      </c>
      <c r="K6" s="389" t="s">
        <v>587</v>
      </c>
      <c r="L6" s="386" t="s">
        <v>588</v>
      </c>
      <c r="M6" s="389" t="s">
        <v>587</v>
      </c>
      <c r="N6" s="386" t="s">
        <v>588</v>
      </c>
      <c r="O6" s="1307"/>
      <c r="P6" s="1308"/>
      <c r="S6" s="44"/>
      <c r="T6" s="50"/>
      <c r="U6" s="50"/>
      <c r="V6" s="46"/>
      <c r="Y6" s="47"/>
      <c r="AF6" s="44"/>
      <c r="AG6" s="50"/>
      <c r="AH6" s="50"/>
      <c r="AI6" s="46"/>
      <c r="AL6" s="47"/>
      <c r="AS6" s="44"/>
      <c r="AT6" s="50"/>
      <c r="AU6" s="50"/>
      <c r="AV6" s="46"/>
      <c r="AY6" s="47"/>
      <c r="BF6" s="44"/>
      <c r="BX6" s="48"/>
    </row>
    <row r="7" spans="1:76" ht="40.5" customHeight="1">
      <c r="A7" s="220" t="s">
        <v>607</v>
      </c>
      <c r="B7" s="464" t="s">
        <v>275</v>
      </c>
      <c r="C7" s="465">
        <v>0.64</v>
      </c>
      <c r="D7" s="465">
        <v>2007</v>
      </c>
      <c r="E7" s="467">
        <v>0.76</v>
      </c>
      <c r="F7" s="468">
        <v>0.57</v>
      </c>
      <c r="G7" s="467">
        <v>0.76</v>
      </c>
      <c r="H7" s="468">
        <v>0.51</v>
      </c>
      <c r="I7" s="467">
        <v>1</v>
      </c>
      <c r="J7" s="521">
        <v>0.54</v>
      </c>
      <c r="K7" s="467">
        <v>1</v>
      </c>
      <c r="L7" s="468"/>
      <c r="M7" s="471"/>
      <c r="N7" s="472"/>
      <c r="O7" s="1318" t="s">
        <v>280</v>
      </c>
      <c r="P7" s="1318" t="s">
        <v>281</v>
      </c>
      <c r="R7" s="52"/>
      <c r="S7" s="52"/>
      <c r="U7" s="45"/>
      <c r="V7" s="46"/>
      <c r="Y7" s="47"/>
      <c r="AF7" s="44"/>
      <c r="AH7" s="45"/>
      <c r="AI7" s="46"/>
      <c r="AL7" s="47"/>
      <c r="AS7" s="44"/>
      <c r="AU7" s="45"/>
      <c r="AV7" s="46"/>
      <c r="AY7" s="47"/>
      <c r="BF7" s="44"/>
      <c r="BX7" s="48"/>
    </row>
    <row r="8" spans="1:76" ht="40.5" customHeight="1">
      <c r="A8" s="220" t="s">
        <v>608</v>
      </c>
      <c r="B8" s="223" t="s">
        <v>276</v>
      </c>
      <c r="C8" s="466">
        <v>930</v>
      </c>
      <c r="D8" s="465">
        <v>2007</v>
      </c>
      <c r="E8" s="222">
        <v>200</v>
      </c>
      <c r="F8" s="385">
        <v>943</v>
      </c>
      <c r="G8" s="467">
        <v>200</v>
      </c>
      <c r="H8" s="469">
        <v>-297</v>
      </c>
      <c r="I8" s="467">
        <v>-595</v>
      </c>
      <c r="J8" s="522">
        <v>-1461</v>
      </c>
      <c r="K8" s="467">
        <v>0</v>
      </c>
      <c r="L8" s="469"/>
      <c r="M8" s="471"/>
      <c r="N8" s="473"/>
      <c r="O8" s="1318"/>
      <c r="P8" s="1318"/>
      <c r="R8" s="52"/>
      <c r="S8" s="52"/>
      <c r="T8" s="50"/>
      <c r="U8" s="50"/>
      <c r="V8" s="46"/>
      <c r="Y8" s="47"/>
      <c r="AF8" s="44"/>
      <c r="AG8" s="50"/>
      <c r="AH8" s="50"/>
      <c r="AI8" s="46"/>
      <c r="AL8" s="47"/>
      <c r="AS8" s="44"/>
      <c r="AT8" s="50"/>
      <c r="AU8" s="50"/>
      <c r="AV8" s="46"/>
      <c r="AY8" s="47"/>
      <c r="BF8" s="44"/>
      <c r="BX8" s="48"/>
    </row>
    <row r="9" spans="1:76" ht="40.5" customHeight="1">
      <c r="A9" s="220" t="s">
        <v>609</v>
      </c>
      <c r="B9" s="223" t="s">
        <v>275</v>
      </c>
      <c r="C9" s="465">
        <v>49.66</v>
      </c>
      <c r="D9" s="465">
        <v>2007</v>
      </c>
      <c r="E9" s="467">
        <v>50.24</v>
      </c>
      <c r="F9" s="468">
        <v>47.11</v>
      </c>
      <c r="G9" s="467">
        <v>50.28</v>
      </c>
      <c r="H9" s="468">
        <v>49.92</v>
      </c>
      <c r="I9" s="467">
        <v>48.17</v>
      </c>
      <c r="J9" s="521">
        <v>50.93</v>
      </c>
      <c r="K9" s="467">
        <v>47.6</v>
      </c>
      <c r="L9" s="468"/>
      <c r="M9" s="471"/>
      <c r="N9" s="474"/>
      <c r="O9" s="1318"/>
      <c r="P9" s="1318"/>
      <c r="R9" s="52"/>
      <c r="S9" s="52"/>
      <c r="T9" s="50"/>
      <c r="U9" s="50"/>
      <c r="V9" s="46"/>
      <c r="Y9" s="47"/>
      <c r="AF9" s="44"/>
      <c r="AG9" s="50"/>
      <c r="AH9" s="50"/>
      <c r="AI9" s="46"/>
      <c r="AL9" s="47"/>
      <c r="AS9" s="44"/>
      <c r="AT9" s="50"/>
      <c r="AU9" s="50"/>
      <c r="AV9" s="46"/>
      <c r="AY9" s="47"/>
      <c r="BF9" s="44"/>
      <c r="BX9" s="48"/>
    </row>
    <row r="10" spans="1:76" ht="40.5" customHeight="1">
      <c r="A10" s="220" t="s">
        <v>610</v>
      </c>
      <c r="B10" s="223" t="s">
        <v>277</v>
      </c>
      <c r="C10" s="466">
        <v>4226</v>
      </c>
      <c r="D10" s="221">
        <v>2007</v>
      </c>
      <c r="E10" s="224">
        <v>4549</v>
      </c>
      <c r="F10" s="469">
        <v>5174</v>
      </c>
      <c r="G10" s="470">
        <v>4888</v>
      </c>
      <c r="H10" s="469">
        <v>5674</v>
      </c>
      <c r="I10" s="470">
        <v>5975</v>
      </c>
      <c r="J10" s="523">
        <v>6407</v>
      </c>
      <c r="K10" s="470">
        <v>6453</v>
      </c>
      <c r="L10" s="469"/>
      <c r="M10" s="471"/>
      <c r="N10" s="473"/>
      <c r="O10" s="1318"/>
      <c r="P10" s="1318"/>
      <c r="R10" s="53"/>
      <c r="S10" s="53"/>
      <c r="T10" s="50"/>
      <c r="U10" s="50"/>
      <c r="V10" s="46"/>
      <c r="Y10" s="47"/>
      <c r="AF10" s="44"/>
      <c r="AG10" s="50"/>
      <c r="AH10" s="50"/>
      <c r="AI10" s="46"/>
      <c r="AL10" s="47"/>
      <c r="AS10" s="44"/>
      <c r="AT10" s="50"/>
      <c r="AU10" s="50"/>
      <c r="AV10" s="46"/>
      <c r="AY10" s="47"/>
      <c r="BF10" s="44"/>
      <c r="BX10" s="48"/>
    </row>
    <row r="11" spans="1:76" ht="40.5" customHeight="1">
      <c r="A11" s="220" t="s">
        <v>612</v>
      </c>
      <c r="B11" s="223" t="s">
        <v>275</v>
      </c>
      <c r="C11" s="465">
        <v>34.12</v>
      </c>
      <c r="D11" s="465">
        <v>2007</v>
      </c>
      <c r="E11" s="467">
        <v>34.38</v>
      </c>
      <c r="F11" s="468">
        <v>33.71</v>
      </c>
      <c r="G11" s="467">
        <v>33.3</v>
      </c>
      <c r="H11" s="468">
        <v>37.83</v>
      </c>
      <c r="I11" s="467">
        <v>37.54</v>
      </c>
      <c r="J11" s="521">
        <v>47.02</v>
      </c>
      <c r="K11" s="467">
        <v>37.62</v>
      </c>
      <c r="L11" s="468"/>
      <c r="M11" s="471"/>
      <c r="N11" s="474"/>
      <c r="O11" s="1318"/>
      <c r="P11" s="1318"/>
      <c r="R11" s="52"/>
      <c r="S11" s="52"/>
      <c r="T11" s="50"/>
      <c r="U11" s="50"/>
      <c r="V11" s="46"/>
      <c r="Y11" s="47"/>
      <c r="AF11" s="44"/>
      <c r="AG11" s="50"/>
      <c r="AH11" s="50"/>
      <c r="AI11" s="46"/>
      <c r="AL11" s="47"/>
      <c r="AS11" s="44"/>
      <c r="AT11" s="50"/>
      <c r="AU11" s="50"/>
      <c r="AV11" s="46"/>
      <c r="AY11" s="47"/>
      <c r="BF11" s="44"/>
      <c r="BX11" s="48"/>
    </row>
    <row r="12" spans="1:76" ht="40.5" customHeight="1" thickBot="1">
      <c r="A12" s="220" t="s">
        <v>613</v>
      </c>
      <c r="B12" s="223" t="s">
        <v>275</v>
      </c>
      <c r="C12" s="465">
        <v>9.9</v>
      </c>
      <c r="D12" s="465">
        <v>2007</v>
      </c>
      <c r="E12" s="467">
        <v>17.17</v>
      </c>
      <c r="F12" s="468">
        <v>13.77</v>
      </c>
      <c r="G12" s="467">
        <v>19.16</v>
      </c>
      <c r="H12" s="468">
        <v>24.55</v>
      </c>
      <c r="I12" s="467">
        <v>29.06</v>
      </c>
      <c r="J12" s="521">
        <v>32.97</v>
      </c>
      <c r="K12" s="467">
        <v>22.41</v>
      </c>
      <c r="L12" s="468"/>
      <c r="M12" s="475"/>
      <c r="N12" s="476"/>
      <c r="O12" s="1318"/>
      <c r="P12" s="1318"/>
      <c r="R12" s="52"/>
      <c r="S12" s="52"/>
      <c r="T12" s="50"/>
      <c r="U12" s="50"/>
      <c r="V12" s="46"/>
      <c r="Y12" s="47"/>
      <c r="AF12" s="44"/>
      <c r="AG12" s="50"/>
      <c r="AH12" s="50"/>
      <c r="AI12" s="46"/>
      <c r="AL12" s="47"/>
      <c r="AS12" s="44"/>
      <c r="AT12" s="50"/>
      <c r="AU12" s="50"/>
      <c r="AV12" s="46"/>
      <c r="AY12" s="47"/>
      <c r="BF12" s="44"/>
      <c r="BX12" s="48"/>
    </row>
    <row r="13" spans="1:76" s="59" customFormat="1" ht="15">
      <c r="A13" s="118"/>
      <c r="B13" s="119"/>
      <c r="C13" s="119"/>
      <c r="D13" s="119"/>
      <c r="E13" s="119"/>
      <c r="F13" s="120"/>
      <c r="G13" s="120"/>
      <c r="H13" s="120"/>
      <c r="I13" s="120"/>
      <c r="J13" s="120"/>
      <c r="K13" s="120"/>
      <c r="L13" s="120"/>
      <c r="M13" s="61"/>
      <c r="N13" s="121"/>
      <c r="O13" s="65"/>
      <c r="P13" s="122"/>
      <c r="Q13" s="54"/>
      <c r="R13" s="54"/>
      <c r="S13" s="54"/>
      <c r="T13" s="55"/>
      <c r="U13" s="55"/>
      <c r="V13" s="56"/>
      <c r="W13" s="57"/>
      <c r="X13" s="57"/>
      <c r="Y13" s="57"/>
      <c r="Z13" s="54"/>
      <c r="AA13" s="54"/>
      <c r="AB13" s="54"/>
      <c r="AC13" s="54"/>
      <c r="AD13" s="54"/>
      <c r="AE13" s="54"/>
      <c r="AF13" s="54"/>
      <c r="AG13" s="55"/>
      <c r="AH13" s="55"/>
      <c r="AI13" s="56"/>
      <c r="AJ13" s="57"/>
      <c r="AK13" s="57"/>
      <c r="AL13" s="57"/>
      <c r="AM13" s="54"/>
      <c r="AN13" s="54"/>
      <c r="AO13" s="54"/>
      <c r="AP13" s="54"/>
      <c r="AQ13" s="54"/>
      <c r="AR13" s="54"/>
      <c r="AS13" s="54"/>
      <c r="AT13" s="55"/>
      <c r="AU13" s="55"/>
      <c r="AV13" s="56"/>
      <c r="AW13" s="57"/>
      <c r="AX13" s="57"/>
      <c r="AY13" s="57"/>
      <c r="AZ13" s="54"/>
      <c r="BA13" s="54"/>
      <c r="BB13" s="54"/>
      <c r="BC13" s="54"/>
      <c r="BD13" s="54"/>
      <c r="BE13" s="54"/>
      <c r="BF13" s="54"/>
      <c r="BG13" s="58"/>
      <c r="BH13" s="58"/>
      <c r="BI13" s="58"/>
      <c r="BJ13" s="58"/>
      <c r="BK13" s="58"/>
      <c r="BL13" s="58"/>
      <c r="BM13" s="58"/>
      <c r="BN13" s="58"/>
      <c r="BO13" s="58"/>
      <c r="BP13" s="58"/>
      <c r="BQ13" s="58"/>
      <c r="BR13" s="58"/>
      <c r="BS13" s="58"/>
      <c r="BT13" s="58"/>
      <c r="BU13" s="58"/>
      <c r="BV13" s="58"/>
      <c r="BW13" s="58"/>
      <c r="BX13" s="58"/>
    </row>
    <row r="14" spans="1:75" s="59" customFormat="1" ht="15.75" thickBot="1">
      <c r="A14" s="60"/>
      <c r="B14" s="61"/>
      <c r="C14" s="62"/>
      <c r="D14" s="62"/>
      <c r="E14" s="63"/>
      <c r="F14" s="62"/>
      <c r="G14" s="62"/>
      <c r="H14" s="62"/>
      <c r="I14" s="62"/>
      <c r="J14" s="64"/>
      <c r="K14" s="62"/>
      <c r="L14" s="62"/>
      <c r="M14" s="63"/>
      <c r="N14" s="65"/>
      <c r="O14" s="65"/>
      <c r="P14" s="66"/>
      <c r="Q14" s="54"/>
      <c r="R14" s="54"/>
      <c r="S14" s="55"/>
      <c r="T14" s="55"/>
      <c r="U14" s="56"/>
      <c r="V14" s="57"/>
      <c r="W14" s="57"/>
      <c r="X14" s="57"/>
      <c r="Y14" s="54"/>
      <c r="Z14" s="54"/>
      <c r="AA14" s="54"/>
      <c r="AB14" s="54"/>
      <c r="AC14" s="54"/>
      <c r="AD14" s="54"/>
      <c r="AE14" s="54"/>
      <c r="AF14" s="55"/>
      <c r="AG14" s="55"/>
      <c r="AH14" s="56"/>
      <c r="AI14" s="57"/>
      <c r="AJ14" s="57"/>
      <c r="AK14" s="57"/>
      <c r="AL14" s="54"/>
      <c r="AM14" s="54"/>
      <c r="AN14" s="54"/>
      <c r="AO14" s="54"/>
      <c r="AP14" s="54"/>
      <c r="AQ14" s="54"/>
      <c r="AR14" s="54"/>
      <c r="AS14" s="55"/>
      <c r="AT14" s="55"/>
      <c r="AU14" s="56"/>
      <c r="AV14" s="57"/>
      <c r="AW14" s="57"/>
      <c r="AX14" s="57"/>
      <c r="AY14" s="54"/>
      <c r="AZ14" s="54"/>
      <c r="BA14" s="54"/>
      <c r="BB14" s="54"/>
      <c r="BC14" s="54"/>
      <c r="BD14" s="54"/>
      <c r="BE14" s="54"/>
      <c r="BF14" s="58"/>
      <c r="BG14" s="58"/>
      <c r="BH14" s="58"/>
      <c r="BI14" s="58"/>
      <c r="BJ14" s="58"/>
      <c r="BK14" s="58"/>
      <c r="BL14" s="58"/>
      <c r="BM14" s="58"/>
      <c r="BN14" s="58"/>
      <c r="BO14" s="58"/>
      <c r="BP14" s="58"/>
      <c r="BQ14" s="58"/>
      <c r="BR14" s="58"/>
      <c r="BS14" s="58"/>
      <c r="BT14" s="58"/>
      <c r="BU14" s="58"/>
      <c r="BV14" s="58"/>
      <c r="BW14" s="58"/>
    </row>
    <row r="15" spans="1:75" s="39" customFormat="1" ht="15.75">
      <c r="A15" s="1296" t="s">
        <v>95</v>
      </c>
      <c r="B15" s="1312"/>
      <c r="C15" s="1312"/>
      <c r="D15" s="1312"/>
      <c r="E15" s="1312"/>
      <c r="F15" s="1312"/>
      <c r="G15" s="1312"/>
      <c r="H15" s="1312"/>
      <c r="I15" s="1312"/>
      <c r="J15" s="1312"/>
      <c r="K15" s="1312"/>
      <c r="L15" s="1312"/>
      <c r="M15" s="1312"/>
      <c r="N15" s="1312"/>
      <c r="O15" s="42" t="s">
        <v>602</v>
      </c>
      <c r="P15" s="43" t="s">
        <v>579</v>
      </c>
      <c r="Q15" s="35"/>
      <c r="R15" s="35"/>
      <c r="S15" s="40"/>
      <c r="T15" s="40"/>
      <c r="U15" s="36"/>
      <c r="V15" s="37"/>
      <c r="W15" s="37"/>
      <c r="X15" s="37"/>
      <c r="Y15" s="35"/>
      <c r="Z15" s="35"/>
      <c r="AA15" s="35"/>
      <c r="AB15" s="35"/>
      <c r="AC15" s="35"/>
      <c r="AD15" s="35"/>
      <c r="AE15" s="35"/>
      <c r="AF15" s="40"/>
      <c r="AG15" s="40"/>
      <c r="AH15" s="36"/>
      <c r="AI15" s="37"/>
      <c r="AJ15" s="37"/>
      <c r="AK15" s="37"/>
      <c r="AL15" s="35"/>
      <c r="AM15" s="35"/>
      <c r="AN15" s="35"/>
      <c r="AO15" s="35"/>
      <c r="AP15" s="35"/>
      <c r="AQ15" s="35"/>
      <c r="AR15" s="35"/>
      <c r="AS15" s="40"/>
      <c r="AT15" s="40"/>
      <c r="AU15" s="36"/>
      <c r="AV15" s="37"/>
      <c r="AW15" s="37"/>
      <c r="AX15" s="37"/>
      <c r="AY15" s="35"/>
      <c r="AZ15" s="35"/>
      <c r="BA15" s="35"/>
      <c r="BB15" s="35"/>
      <c r="BC15" s="35"/>
      <c r="BD15" s="35"/>
      <c r="BE15" s="35"/>
      <c r="BF15" s="38"/>
      <c r="BG15" s="38"/>
      <c r="BH15" s="38"/>
      <c r="BI15" s="38"/>
      <c r="BJ15" s="38"/>
      <c r="BK15" s="38"/>
      <c r="BL15" s="38"/>
      <c r="BM15" s="38"/>
      <c r="BN15" s="38"/>
      <c r="BO15" s="38"/>
      <c r="BP15" s="38"/>
      <c r="BQ15" s="38"/>
      <c r="BR15" s="38"/>
      <c r="BS15" s="38"/>
      <c r="BT15" s="38"/>
      <c r="BU15" s="38"/>
      <c r="BV15" s="38"/>
      <c r="BW15" s="38"/>
    </row>
    <row r="16" spans="1:46" ht="30.75" customHeight="1" collapsed="1">
      <c r="A16" s="1313" t="s">
        <v>323</v>
      </c>
      <c r="B16" s="1314"/>
      <c r="C16" s="1314"/>
      <c r="D16" s="1314"/>
      <c r="E16" s="1314"/>
      <c r="F16" s="1314"/>
      <c r="G16" s="1314"/>
      <c r="H16" s="1314"/>
      <c r="I16" s="1314"/>
      <c r="J16" s="1314"/>
      <c r="K16" s="1314"/>
      <c r="L16" s="1314"/>
      <c r="M16" s="1314"/>
      <c r="N16" s="1314"/>
      <c r="O16" s="390"/>
      <c r="P16" s="391"/>
      <c r="S16" s="50"/>
      <c r="T16" s="50"/>
      <c r="AF16" s="50"/>
      <c r="AG16" s="50"/>
      <c r="AS16" s="50"/>
      <c r="AT16" s="50"/>
    </row>
    <row r="17" spans="1:76" ht="15.75" customHeight="1">
      <c r="A17" s="1303" t="s">
        <v>580</v>
      </c>
      <c r="B17" s="1317" t="s">
        <v>584</v>
      </c>
      <c r="C17" s="1317"/>
      <c r="D17" s="1317"/>
      <c r="E17" s="1305" t="s">
        <v>282</v>
      </c>
      <c r="F17" s="1305"/>
      <c r="G17" s="1305" t="s">
        <v>283</v>
      </c>
      <c r="H17" s="1305"/>
      <c r="I17" s="1305" t="s">
        <v>284</v>
      </c>
      <c r="J17" s="1305"/>
      <c r="K17" s="1305" t="s">
        <v>285</v>
      </c>
      <c r="L17" s="1305"/>
      <c r="M17" s="1306" t="s">
        <v>100</v>
      </c>
      <c r="N17" s="1306"/>
      <c r="O17" s="1307" t="s">
        <v>585</v>
      </c>
      <c r="P17" s="1308" t="s">
        <v>579</v>
      </c>
      <c r="S17" s="44"/>
      <c r="T17" s="50"/>
      <c r="U17" s="50"/>
      <c r="V17" s="46"/>
      <c r="Y17" s="47"/>
      <c r="AF17" s="44"/>
      <c r="AG17" s="50"/>
      <c r="AH17" s="50"/>
      <c r="AI17" s="46"/>
      <c r="AL17" s="47"/>
      <c r="AS17" s="44"/>
      <c r="AT17" s="50"/>
      <c r="AU17" s="50"/>
      <c r="AV17" s="46"/>
      <c r="AY17" s="47"/>
      <c r="BF17" s="44"/>
      <c r="BX17" s="48"/>
    </row>
    <row r="18" spans="1:76" ht="30">
      <c r="A18" s="1304"/>
      <c r="B18" s="387" t="s">
        <v>582</v>
      </c>
      <c r="C18" s="388" t="s">
        <v>583</v>
      </c>
      <c r="D18" s="388" t="s">
        <v>586</v>
      </c>
      <c r="E18" s="389" t="s">
        <v>587</v>
      </c>
      <c r="F18" s="386" t="s">
        <v>588</v>
      </c>
      <c r="G18" s="389" t="s">
        <v>587</v>
      </c>
      <c r="H18" s="386" t="s">
        <v>588</v>
      </c>
      <c r="I18" s="389" t="s">
        <v>587</v>
      </c>
      <c r="J18" s="386" t="s">
        <v>588</v>
      </c>
      <c r="K18" s="389" t="s">
        <v>587</v>
      </c>
      <c r="L18" s="386" t="s">
        <v>588</v>
      </c>
      <c r="M18" s="389" t="s">
        <v>587</v>
      </c>
      <c r="N18" s="386" t="s">
        <v>588</v>
      </c>
      <c r="O18" s="1307"/>
      <c r="P18" s="1308"/>
      <c r="S18" s="44"/>
      <c r="T18" s="50"/>
      <c r="U18" s="50"/>
      <c r="V18" s="46"/>
      <c r="Y18" s="47"/>
      <c r="AF18" s="44"/>
      <c r="AG18" s="50"/>
      <c r="AH18" s="50"/>
      <c r="AI18" s="46"/>
      <c r="AL18" s="47"/>
      <c r="AS18" s="44"/>
      <c r="AT18" s="50"/>
      <c r="AU18" s="50"/>
      <c r="AV18" s="46"/>
      <c r="AY18" s="47"/>
      <c r="BF18" s="44"/>
      <c r="BX18" s="48"/>
    </row>
    <row r="19" spans="1:75" s="73" customFormat="1" ht="15">
      <c r="A19" s="1313" t="s">
        <v>1419</v>
      </c>
      <c r="B19" s="1314"/>
      <c r="C19" s="1314"/>
      <c r="D19" s="1314"/>
      <c r="E19" s="1314"/>
      <c r="F19" s="1314"/>
      <c r="G19" s="1314"/>
      <c r="H19" s="1314"/>
      <c r="I19" s="1314"/>
      <c r="J19" s="1314"/>
      <c r="K19" s="1314"/>
      <c r="L19" s="1314"/>
      <c r="M19" s="1314"/>
      <c r="N19" s="1314"/>
      <c r="O19" s="67"/>
      <c r="P19" s="68"/>
      <c r="Q19" s="69"/>
      <c r="R19" s="69"/>
      <c r="S19" s="45"/>
      <c r="T19" s="45"/>
      <c r="U19" s="70"/>
      <c r="V19" s="71"/>
      <c r="W19" s="71"/>
      <c r="X19" s="71"/>
      <c r="Y19" s="69"/>
      <c r="Z19" s="69"/>
      <c r="AA19" s="69"/>
      <c r="AB19" s="69"/>
      <c r="AC19" s="69"/>
      <c r="AD19" s="69"/>
      <c r="AE19" s="69"/>
      <c r="AF19" s="45"/>
      <c r="AG19" s="45"/>
      <c r="AH19" s="70"/>
      <c r="AI19" s="71"/>
      <c r="AJ19" s="71"/>
      <c r="AK19" s="71"/>
      <c r="AL19" s="69"/>
      <c r="AM19" s="69"/>
      <c r="AN19" s="69"/>
      <c r="AO19" s="69"/>
      <c r="AP19" s="69"/>
      <c r="AQ19" s="69"/>
      <c r="AR19" s="69"/>
      <c r="AS19" s="45"/>
      <c r="AT19" s="45"/>
      <c r="AU19" s="70"/>
      <c r="AV19" s="71"/>
      <c r="AW19" s="71"/>
      <c r="AX19" s="71"/>
      <c r="AY19" s="69"/>
      <c r="AZ19" s="69"/>
      <c r="BA19" s="69"/>
      <c r="BB19" s="69"/>
      <c r="BC19" s="69"/>
      <c r="BD19" s="69"/>
      <c r="BE19" s="69"/>
      <c r="BF19" s="72"/>
      <c r="BG19" s="72"/>
      <c r="BH19" s="72"/>
      <c r="BI19" s="72"/>
      <c r="BJ19" s="72"/>
      <c r="BK19" s="72"/>
      <c r="BL19" s="72"/>
      <c r="BM19" s="72"/>
      <c r="BN19" s="72"/>
      <c r="BO19" s="72"/>
      <c r="BP19" s="72"/>
      <c r="BQ19" s="72"/>
      <c r="BR19" s="72"/>
      <c r="BS19" s="72"/>
      <c r="BT19" s="72"/>
      <c r="BU19" s="72"/>
      <c r="BV19" s="72"/>
      <c r="BW19" s="72"/>
    </row>
    <row r="20" spans="1:76" ht="61.5" customHeight="1">
      <c r="A20" s="220" t="s">
        <v>286</v>
      </c>
      <c r="B20" s="225" t="s">
        <v>287</v>
      </c>
      <c r="C20" s="464">
        <v>0</v>
      </c>
      <c r="D20" s="227">
        <v>2007</v>
      </c>
      <c r="E20" s="464">
        <v>0</v>
      </c>
      <c r="F20" s="392"/>
      <c r="G20" s="479">
        <v>0</v>
      </c>
      <c r="H20" s="392"/>
      <c r="I20" s="479">
        <v>1</v>
      </c>
      <c r="J20" s="392"/>
      <c r="K20" s="479">
        <v>2</v>
      </c>
      <c r="L20" s="392"/>
      <c r="M20" s="74"/>
      <c r="N20" s="392"/>
      <c r="O20" s="220" t="s">
        <v>310</v>
      </c>
      <c r="P20" s="220" t="s">
        <v>311</v>
      </c>
      <c r="S20" s="44"/>
      <c r="U20" s="45"/>
      <c r="V20" s="46"/>
      <c r="Y20" s="47"/>
      <c r="AF20" s="44"/>
      <c r="AH20" s="45"/>
      <c r="AI20" s="46"/>
      <c r="AL20" s="47"/>
      <c r="AS20" s="44"/>
      <c r="AU20" s="45"/>
      <c r="AV20" s="46"/>
      <c r="AY20" s="47"/>
      <c r="BF20" s="44"/>
      <c r="BX20" s="48"/>
    </row>
    <row r="21" spans="1:75" s="73" customFormat="1" ht="15">
      <c r="A21" s="1313" t="s">
        <v>1420</v>
      </c>
      <c r="B21" s="1314"/>
      <c r="C21" s="1314"/>
      <c r="D21" s="1314"/>
      <c r="E21" s="1314"/>
      <c r="F21" s="1314"/>
      <c r="G21" s="1314"/>
      <c r="H21" s="1314"/>
      <c r="I21" s="1314"/>
      <c r="J21" s="1314"/>
      <c r="K21" s="1314"/>
      <c r="L21" s="1314"/>
      <c r="M21" s="1314"/>
      <c r="N21" s="1314"/>
      <c r="O21" s="75"/>
      <c r="P21" s="68"/>
      <c r="Q21" s="69"/>
      <c r="R21" s="69"/>
      <c r="S21" s="45"/>
      <c r="T21" s="45"/>
      <c r="U21" s="70"/>
      <c r="V21" s="71"/>
      <c r="W21" s="71"/>
      <c r="X21" s="71"/>
      <c r="Y21" s="69"/>
      <c r="Z21" s="69"/>
      <c r="AA21" s="69"/>
      <c r="AB21" s="69"/>
      <c r="AC21" s="69"/>
      <c r="AD21" s="69"/>
      <c r="AE21" s="69"/>
      <c r="AF21" s="45"/>
      <c r="AG21" s="45"/>
      <c r="AH21" s="70"/>
      <c r="AI21" s="71"/>
      <c r="AJ21" s="71"/>
      <c r="AK21" s="71"/>
      <c r="AL21" s="69"/>
      <c r="AM21" s="69"/>
      <c r="AN21" s="69"/>
      <c r="AO21" s="69"/>
      <c r="AP21" s="69"/>
      <c r="AQ21" s="69"/>
      <c r="AR21" s="69"/>
      <c r="AS21" s="45"/>
      <c r="AT21" s="45"/>
      <c r="AU21" s="70"/>
      <c r="AV21" s="71"/>
      <c r="AW21" s="71"/>
      <c r="AX21" s="71"/>
      <c r="AY21" s="69"/>
      <c r="AZ21" s="69"/>
      <c r="BA21" s="69"/>
      <c r="BB21" s="69"/>
      <c r="BC21" s="69"/>
      <c r="BD21" s="69"/>
      <c r="BE21" s="69"/>
      <c r="BF21" s="72"/>
      <c r="BG21" s="72"/>
      <c r="BH21" s="72"/>
      <c r="BI21" s="72"/>
      <c r="BJ21" s="72"/>
      <c r="BK21" s="72"/>
      <c r="BL21" s="72"/>
      <c r="BM21" s="72"/>
      <c r="BN21" s="72"/>
      <c r="BO21" s="72"/>
      <c r="BP21" s="72"/>
      <c r="BQ21" s="72"/>
      <c r="BR21" s="72"/>
      <c r="BS21" s="72"/>
      <c r="BT21" s="72"/>
      <c r="BU21" s="72"/>
      <c r="BV21" s="72"/>
      <c r="BW21" s="72"/>
    </row>
    <row r="22" spans="1:76" ht="35.25" customHeight="1">
      <c r="A22" s="220" t="s">
        <v>298</v>
      </c>
      <c r="B22" s="225" t="s">
        <v>299</v>
      </c>
      <c r="C22" s="464">
        <v>593</v>
      </c>
      <c r="D22" s="227">
        <v>2007</v>
      </c>
      <c r="E22" s="464">
        <v>0</v>
      </c>
      <c r="F22" s="392"/>
      <c r="G22" s="479">
        <v>0</v>
      </c>
      <c r="H22" s="480"/>
      <c r="I22" s="479">
        <v>612</v>
      </c>
      <c r="J22" s="480"/>
      <c r="K22" s="225">
        <v>623</v>
      </c>
      <c r="L22" s="392"/>
      <c r="M22" s="51"/>
      <c r="N22" s="392"/>
      <c r="O22" s="220" t="s">
        <v>312</v>
      </c>
      <c r="P22" s="220" t="s">
        <v>313</v>
      </c>
      <c r="S22" s="44"/>
      <c r="U22" s="45"/>
      <c r="V22" s="46"/>
      <c r="Y22" s="47"/>
      <c r="AF22" s="44"/>
      <c r="AH22" s="45"/>
      <c r="AI22" s="46"/>
      <c r="AL22" s="47"/>
      <c r="AS22" s="44"/>
      <c r="AU22" s="45"/>
      <c r="AV22" s="46"/>
      <c r="AY22" s="47"/>
      <c r="BF22" s="44"/>
      <c r="BX22" s="48"/>
    </row>
    <row r="23" spans="1:75" s="73" customFormat="1" ht="15">
      <c r="A23" s="1313" t="s">
        <v>1421</v>
      </c>
      <c r="B23" s="1314"/>
      <c r="C23" s="1314"/>
      <c r="D23" s="1314"/>
      <c r="E23" s="1314"/>
      <c r="F23" s="1314"/>
      <c r="G23" s="1314"/>
      <c r="H23" s="1314"/>
      <c r="I23" s="1314"/>
      <c r="J23" s="1314"/>
      <c r="K23" s="1314"/>
      <c r="L23" s="1314"/>
      <c r="M23" s="1314"/>
      <c r="N23" s="1314"/>
      <c r="O23" s="75"/>
      <c r="P23" s="68"/>
      <c r="Q23" s="69"/>
      <c r="R23" s="69"/>
      <c r="S23" s="45"/>
      <c r="T23" s="45"/>
      <c r="U23" s="70"/>
      <c r="V23" s="71"/>
      <c r="W23" s="71"/>
      <c r="X23" s="71"/>
      <c r="Y23" s="69"/>
      <c r="Z23" s="69"/>
      <c r="AA23" s="69"/>
      <c r="AB23" s="69"/>
      <c r="AC23" s="69"/>
      <c r="AD23" s="69"/>
      <c r="AE23" s="69"/>
      <c r="AF23" s="45"/>
      <c r="AG23" s="45"/>
      <c r="AH23" s="70"/>
      <c r="AI23" s="71"/>
      <c r="AJ23" s="71"/>
      <c r="AK23" s="71"/>
      <c r="AL23" s="69"/>
      <c r="AM23" s="69"/>
      <c r="AN23" s="69"/>
      <c r="AO23" s="69"/>
      <c r="AP23" s="69"/>
      <c r="AQ23" s="69"/>
      <c r="AR23" s="69"/>
      <c r="AS23" s="45"/>
      <c r="AT23" s="45"/>
      <c r="AU23" s="70"/>
      <c r="AV23" s="71"/>
      <c r="AW23" s="71"/>
      <c r="AX23" s="71"/>
      <c r="AY23" s="69"/>
      <c r="AZ23" s="69"/>
      <c r="BA23" s="69"/>
      <c r="BB23" s="69"/>
      <c r="BC23" s="69"/>
      <c r="BD23" s="69"/>
      <c r="BE23" s="69"/>
      <c r="BF23" s="72"/>
      <c r="BG23" s="72"/>
      <c r="BH23" s="72"/>
      <c r="BI23" s="72"/>
      <c r="BJ23" s="72"/>
      <c r="BK23" s="72"/>
      <c r="BL23" s="72"/>
      <c r="BM23" s="72"/>
      <c r="BN23" s="72"/>
      <c r="BO23" s="72"/>
      <c r="BP23" s="72"/>
      <c r="BQ23" s="72"/>
      <c r="BR23" s="72"/>
      <c r="BS23" s="72"/>
      <c r="BT23" s="72"/>
      <c r="BU23" s="72"/>
      <c r="BV23" s="72"/>
      <c r="BW23" s="72"/>
    </row>
    <row r="24" spans="1:76" ht="23.25" customHeight="1">
      <c r="A24" s="220" t="s">
        <v>300</v>
      </c>
      <c r="B24" s="225" t="s">
        <v>299</v>
      </c>
      <c r="C24" s="225">
        <v>3917</v>
      </c>
      <c r="D24" s="227">
        <v>2007</v>
      </c>
      <c r="E24" s="225">
        <v>0</v>
      </c>
      <c r="F24" s="392"/>
      <c r="G24" s="479">
        <v>0</v>
      </c>
      <c r="H24" s="392"/>
      <c r="I24" s="1110">
        <v>3995</v>
      </c>
      <c r="J24" s="392"/>
      <c r="K24" s="225">
        <v>4136</v>
      </c>
      <c r="L24" s="392"/>
      <c r="M24" s="51"/>
      <c r="N24" s="392"/>
      <c r="O24" s="220" t="s">
        <v>314</v>
      </c>
      <c r="P24" s="220" t="s">
        <v>311</v>
      </c>
      <c r="S24" s="44"/>
      <c r="U24" s="45"/>
      <c r="V24" s="46"/>
      <c r="Y24" s="47"/>
      <c r="AF24" s="44"/>
      <c r="AH24" s="45"/>
      <c r="AI24" s="46"/>
      <c r="AL24" s="47"/>
      <c r="AS24" s="44"/>
      <c r="AU24" s="45"/>
      <c r="AV24" s="46"/>
      <c r="AY24" s="47"/>
      <c r="BF24" s="44"/>
      <c r="BX24" s="48"/>
    </row>
    <row r="25" spans="1:75" s="73" customFormat="1" ht="15">
      <c r="A25" s="1313" t="s">
        <v>1422</v>
      </c>
      <c r="B25" s="1314"/>
      <c r="C25" s="1314"/>
      <c r="D25" s="1314"/>
      <c r="E25" s="1314"/>
      <c r="F25" s="1314"/>
      <c r="G25" s="1314"/>
      <c r="H25" s="1314"/>
      <c r="I25" s="1314"/>
      <c r="J25" s="1314"/>
      <c r="K25" s="1314"/>
      <c r="L25" s="1314"/>
      <c r="M25" s="1314"/>
      <c r="N25" s="1314"/>
      <c r="O25" s="67"/>
      <c r="P25" s="68"/>
      <c r="Q25" s="69"/>
      <c r="R25" s="69"/>
      <c r="S25" s="45"/>
      <c r="T25" s="45"/>
      <c r="U25" s="70"/>
      <c r="V25" s="71"/>
      <c r="W25" s="71"/>
      <c r="X25" s="71"/>
      <c r="Y25" s="69"/>
      <c r="Z25" s="69"/>
      <c r="AA25" s="69"/>
      <c r="AB25" s="69"/>
      <c r="AC25" s="69"/>
      <c r="AD25" s="69"/>
      <c r="AE25" s="69"/>
      <c r="AF25" s="45"/>
      <c r="AG25" s="45"/>
      <c r="AH25" s="70"/>
      <c r="AI25" s="71"/>
      <c r="AJ25" s="71"/>
      <c r="AK25" s="71"/>
      <c r="AL25" s="69"/>
      <c r="AM25" s="69"/>
      <c r="AN25" s="69"/>
      <c r="AO25" s="69"/>
      <c r="AP25" s="69"/>
      <c r="AQ25" s="69"/>
      <c r="AR25" s="69"/>
      <c r="AS25" s="45"/>
      <c r="AT25" s="45"/>
      <c r="AU25" s="70"/>
      <c r="AV25" s="71"/>
      <c r="AW25" s="71"/>
      <c r="AX25" s="71"/>
      <c r="AY25" s="69"/>
      <c r="AZ25" s="69"/>
      <c r="BA25" s="69"/>
      <c r="BB25" s="69"/>
      <c r="BC25" s="69"/>
      <c r="BD25" s="69"/>
      <c r="BE25" s="69"/>
      <c r="BF25" s="72"/>
      <c r="BG25" s="72"/>
      <c r="BH25" s="72"/>
      <c r="BI25" s="72"/>
      <c r="BJ25" s="72"/>
      <c r="BK25" s="72"/>
      <c r="BL25" s="72"/>
      <c r="BM25" s="72"/>
      <c r="BN25" s="72"/>
      <c r="BO25" s="72"/>
      <c r="BP25" s="72"/>
      <c r="BQ25" s="72"/>
      <c r="BR25" s="72"/>
      <c r="BS25" s="72"/>
      <c r="BT25" s="72"/>
      <c r="BU25" s="72"/>
      <c r="BV25" s="72"/>
      <c r="BW25" s="72"/>
    </row>
    <row r="26" spans="1:76" s="82" customFormat="1" ht="33" customHeight="1">
      <c r="A26" s="229" t="s">
        <v>301</v>
      </c>
      <c r="B26" s="225" t="s">
        <v>302</v>
      </c>
      <c r="C26" s="225">
        <v>15</v>
      </c>
      <c r="D26" s="477">
        <v>2007</v>
      </c>
      <c r="E26" s="225">
        <v>0</v>
      </c>
      <c r="F26" s="392"/>
      <c r="G26" s="479">
        <v>0</v>
      </c>
      <c r="H26" s="392"/>
      <c r="I26" s="479">
        <v>0</v>
      </c>
      <c r="J26" s="392"/>
      <c r="K26" s="225">
        <v>5</v>
      </c>
      <c r="L26" s="392"/>
      <c r="M26" s="76"/>
      <c r="N26" s="392"/>
      <c r="O26" s="229" t="s">
        <v>315</v>
      </c>
      <c r="P26" s="229" t="s">
        <v>313</v>
      </c>
      <c r="Q26" s="77"/>
      <c r="R26" s="77"/>
      <c r="S26" s="77"/>
      <c r="T26" s="78"/>
      <c r="U26" s="78"/>
      <c r="V26" s="79"/>
      <c r="W26" s="80"/>
      <c r="X26" s="80"/>
      <c r="Y26" s="80"/>
      <c r="Z26" s="77"/>
      <c r="AA26" s="77"/>
      <c r="AB26" s="77"/>
      <c r="AC26" s="77"/>
      <c r="AD26" s="77"/>
      <c r="AE26" s="77"/>
      <c r="AF26" s="77"/>
      <c r="AG26" s="78"/>
      <c r="AH26" s="78"/>
      <c r="AI26" s="79"/>
      <c r="AJ26" s="80"/>
      <c r="AK26" s="80"/>
      <c r="AL26" s="80"/>
      <c r="AM26" s="77"/>
      <c r="AN26" s="77"/>
      <c r="AO26" s="77"/>
      <c r="AP26" s="77"/>
      <c r="AQ26" s="77"/>
      <c r="AR26" s="77"/>
      <c r="AS26" s="77"/>
      <c r="AT26" s="78"/>
      <c r="AU26" s="78"/>
      <c r="AV26" s="79"/>
      <c r="AW26" s="80"/>
      <c r="AX26" s="80"/>
      <c r="AY26" s="80"/>
      <c r="AZ26" s="77"/>
      <c r="BA26" s="77"/>
      <c r="BB26" s="77"/>
      <c r="BC26" s="77"/>
      <c r="BD26" s="77"/>
      <c r="BE26" s="77"/>
      <c r="BF26" s="77"/>
      <c r="BG26" s="81"/>
      <c r="BH26" s="81"/>
      <c r="BI26" s="81"/>
      <c r="BJ26" s="81"/>
      <c r="BK26" s="81"/>
      <c r="BL26" s="81"/>
      <c r="BM26" s="81"/>
      <c r="BN26" s="81"/>
      <c r="BO26" s="81"/>
      <c r="BP26" s="81"/>
      <c r="BQ26" s="81"/>
      <c r="BR26" s="81"/>
      <c r="BS26" s="81"/>
      <c r="BT26" s="81"/>
      <c r="BU26" s="81"/>
      <c r="BV26" s="81"/>
      <c r="BW26" s="81"/>
      <c r="BX26" s="81"/>
    </row>
    <row r="27" spans="1:46" ht="15" collapsed="1">
      <c r="A27" s="1313" t="s">
        <v>1423</v>
      </c>
      <c r="B27" s="1314"/>
      <c r="C27" s="1314"/>
      <c r="D27" s="1314"/>
      <c r="E27" s="1314"/>
      <c r="F27" s="1314"/>
      <c r="G27" s="1314"/>
      <c r="H27" s="1314"/>
      <c r="I27" s="1314"/>
      <c r="J27" s="1314"/>
      <c r="K27" s="1314"/>
      <c r="L27" s="1314"/>
      <c r="M27" s="1314"/>
      <c r="N27" s="1314"/>
      <c r="O27" s="83"/>
      <c r="P27" s="84"/>
      <c r="S27" s="50"/>
      <c r="T27" s="50"/>
      <c r="AF27" s="50"/>
      <c r="AG27" s="50"/>
      <c r="AS27" s="50"/>
      <c r="AT27" s="50"/>
    </row>
    <row r="28" spans="1:76" s="82" customFormat="1" ht="51" customHeight="1">
      <c r="A28" s="229" t="s">
        <v>303</v>
      </c>
      <c r="B28" s="225" t="s">
        <v>595</v>
      </c>
      <c r="C28" s="226">
        <v>19</v>
      </c>
      <c r="D28" s="227">
        <v>2007</v>
      </c>
      <c r="E28" s="225">
        <v>22</v>
      </c>
      <c r="F28" s="480">
        <v>29</v>
      </c>
      <c r="G28" s="479">
        <v>30</v>
      </c>
      <c r="H28" s="480">
        <v>62.46</v>
      </c>
      <c r="I28" s="479">
        <v>35</v>
      </c>
      <c r="J28" s="392"/>
      <c r="K28" s="225">
        <v>40</v>
      </c>
      <c r="L28" s="392"/>
      <c r="M28" s="76"/>
      <c r="N28" s="392"/>
      <c r="O28" s="229" t="s">
        <v>316</v>
      </c>
      <c r="P28" s="229" t="s">
        <v>317</v>
      </c>
      <c r="Q28" s="77"/>
      <c r="R28" s="77"/>
      <c r="S28" s="77"/>
      <c r="T28" s="78"/>
      <c r="U28" s="78"/>
      <c r="V28" s="79"/>
      <c r="W28" s="80"/>
      <c r="X28" s="80"/>
      <c r="Y28" s="80"/>
      <c r="Z28" s="77"/>
      <c r="AA28" s="77"/>
      <c r="AB28" s="77"/>
      <c r="AC28" s="77"/>
      <c r="AD28" s="77"/>
      <c r="AE28" s="77"/>
      <c r="AF28" s="77"/>
      <c r="AG28" s="78"/>
      <c r="AH28" s="78"/>
      <c r="AI28" s="79"/>
      <c r="AJ28" s="80"/>
      <c r="AK28" s="80"/>
      <c r="AL28" s="80"/>
      <c r="AM28" s="77"/>
      <c r="AN28" s="77"/>
      <c r="AO28" s="77"/>
      <c r="AP28" s="77"/>
      <c r="AQ28" s="77"/>
      <c r="AR28" s="77"/>
      <c r="AS28" s="77"/>
      <c r="AT28" s="78"/>
      <c r="AU28" s="78"/>
      <c r="AV28" s="79"/>
      <c r="AW28" s="80"/>
      <c r="AX28" s="80"/>
      <c r="AY28" s="80"/>
      <c r="AZ28" s="77"/>
      <c r="BA28" s="77"/>
      <c r="BB28" s="77"/>
      <c r="BC28" s="77"/>
      <c r="BD28" s="77"/>
      <c r="BE28" s="77"/>
      <c r="BF28" s="77"/>
      <c r="BG28" s="81"/>
      <c r="BH28" s="81"/>
      <c r="BI28" s="81"/>
      <c r="BJ28" s="81"/>
      <c r="BK28" s="81"/>
      <c r="BL28" s="81"/>
      <c r="BM28" s="81"/>
      <c r="BN28" s="81"/>
      <c r="BO28" s="81"/>
      <c r="BP28" s="81"/>
      <c r="BQ28" s="81"/>
      <c r="BR28" s="81"/>
      <c r="BS28" s="81"/>
      <c r="BT28" s="81"/>
      <c r="BU28" s="81"/>
      <c r="BV28" s="81"/>
      <c r="BW28" s="81"/>
      <c r="BX28" s="81"/>
    </row>
    <row r="29" spans="1:75" s="73" customFormat="1" ht="15">
      <c r="A29" s="1313" t="s">
        <v>1424</v>
      </c>
      <c r="B29" s="1314"/>
      <c r="C29" s="1314"/>
      <c r="D29" s="1314"/>
      <c r="E29" s="1314"/>
      <c r="F29" s="1314"/>
      <c r="G29" s="1314"/>
      <c r="H29" s="1314"/>
      <c r="I29" s="1314"/>
      <c r="J29" s="1314"/>
      <c r="K29" s="1314"/>
      <c r="L29" s="1314"/>
      <c r="M29" s="1314"/>
      <c r="N29" s="1314"/>
      <c r="O29" s="67"/>
      <c r="P29" s="68"/>
      <c r="Q29" s="69"/>
      <c r="R29" s="69"/>
      <c r="S29" s="45"/>
      <c r="T29" s="45"/>
      <c r="U29" s="70"/>
      <c r="V29" s="71"/>
      <c r="W29" s="71"/>
      <c r="X29" s="71"/>
      <c r="Y29" s="69"/>
      <c r="Z29" s="69"/>
      <c r="AA29" s="69"/>
      <c r="AB29" s="69"/>
      <c r="AC29" s="69"/>
      <c r="AD29" s="69"/>
      <c r="AE29" s="69"/>
      <c r="AF29" s="45"/>
      <c r="AG29" s="45"/>
      <c r="AH29" s="70"/>
      <c r="AI29" s="71"/>
      <c r="AJ29" s="71"/>
      <c r="AK29" s="71"/>
      <c r="AL29" s="69"/>
      <c r="AM29" s="69"/>
      <c r="AN29" s="69"/>
      <c r="AO29" s="69"/>
      <c r="AP29" s="69"/>
      <c r="AQ29" s="69"/>
      <c r="AR29" s="69"/>
      <c r="AS29" s="45"/>
      <c r="AT29" s="45"/>
      <c r="AU29" s="70"/>
      <c r="AV29" s="71"/>
      <c r="AW29" s="71"/>
      <c r="AX29" s="71"/>
      <c r="AY29" s="69"/>
      <c r="AZ29" s="69"/>
      <c r="BA29" s="69"/>
      <c r="BB29" s="69"/>
      <c r="BC29" s="69"/>
      <c r="BD29" s="69"/>
      <c r="BE29" s="69"/>
      <c r="BF29" s="72"/>
      <c r="BG29" s="72"/>
      <c r="BH29" s="72"/>
      <c r="BI29" s="72"/>
      <c r="BJ29" s="72"/>
      <c r="BK29" s="72"/>
      <c r="BL29" s="72"/>
      <c r="BM29" s="72"/>
      <c r="BN29" s="72"/>
      <c r="BO29" s="72"/>
      <c r="BP29" s="72"/>
      <c r="BQ29" s="72"/>
      <c r="BR29" s="72"/>
      <c r="BS29" s="72"/>
      <c r="BT29" s="72"/>
      <c r="BU29" s="72"/>
      <c r="BV29" s="72"/>
      <c r="BW29" s="72"/>
    </row>
    <row r="30" spans="1:76" s="82" customFormat="1" ht="61.5" customHeight="1">
      <c r="A30" s="229" t="s">
        <v>304</v>
      </c>
      <c r="B30" s="225" t="s">
        <v>595</v>
      </c>
      <c r="C30" s="225" t="s">
        <v>305</v>
      </c>
      <c r="D30" s="227">
        <v>2007</v>
      </c>
      <c r="E30" s="478">
        <v>0</v>
      </c>
      <c r="F30" s="392"/>
      <c r="G30" s="481">
        <v>0.01</v>
      </c>
      <c r="H30" s="480">
        <v>0</v>
      </c>
      <c r="I30" s="481">
        <v>0.02</v>
      </c>
      <c r="J30" s="392"/>
      <c r="K30" s="478">
        <v>0.05</v>
      </c>
      <c r="L30" s="392"/>
      <c r="M30" s="76"/>
      <c r="N30" s="392"/>
      <c r="O30" s="229" t="s">
        <v>318</v>
      </c>
      <c r="P30" s="229" t="s">
        <v>317</v>
      </c>
      <c r="Q30" s="77"/>
      <c r="R30" s="77"/>
      <c r="S30" s="77"/>
      <c r="T30" s="78"/>
      <c r="U30" s="78"/>
      <c r="V30" s="79"/>
      <c r="W30" s="80"/>
      <c r="X30" s="80"/>
      <c r="Y30" s="80"/>
      <c r="Z30" s="77"/>
      <c r="AA30" s="77"/>
      <c r="AB30" s="77"/>
      <c r="AC30" s="77"/>
      <c r="AD30" s="77"/>
      <c r="AE30" s="77"/>
      <c r="AF30" s="77"/>
      <c r="AG30" s="78"/>
      <c r="AH30" s="78"/>
      <c r="AI30" s="79"/>
      <c r="AJ30" s="80"/>
      <c r="AK30" s="80"/>
      <c r="AL30" s="80"/>
      <c r="AM30" s="77"/>
      <c r="AN30" s="77"/>
      <c r="AO30" s="77"/>
      <c r="AP30" s="77"/>
      <c r="AQ30" s="77"/>
      <c r="AR30" s="77"/>
      <c r="AS30" s="77"/>
      <c r="AT30" s="78"/>
      <c r="AU30" s="78"/>
      <c r="AV30" s="79"/>
      <c r="AW30" s="80"/>
      <c r="AX30" s="80"/>
      <c r="AY30" s="80"/>
      <c r="AZ30" s="77"/>
      <c r="BA30" s="77"/>
      <c r="BB30" s="77"/>
      <c r="BC30" s="77"/>
      <c r="BD30" s="77"/>
      <c r="BE30" s="77"/>
      <c r="BF30" s="77"/>
      <c r="BG30" s="81"/>
      <c r="BH30" s="81"/>
      <c r="BI30" s="81"/>
      <c r="BJ30" s="81"/>
      <c r="BK30" s="81"/>
      <c r="BL30" s="81"/>
      <c r="BM30" s="81"/>
      <c r="BN30" s="81"/>
      <c r="BO30" s="81"/>
      <c r="BP30" s="81"/>
      <c r="BQ30" s="81"/>
      <c r="BR30" s="81"/>
      <c r="BS30" s="81"/>
      <c r="BT30" s="81"/>
      <c r="BU30" s="81"/>
      <c r="BV30" s="81"/>
      <c r="BW30" s="81"/>
      <c r="BX30" s="81"/>
    </row>
    <row r="31" spans="1:46" ht="15" collapsed="1">
      <c r="A31" s="1313" t="s">
        <v>1425</v>
      </c>
      <c r="B31" s="1314"/>
      <c r="C31" s="1314"/>
      <c r="D31" s="1314"/>
      <c r="E31" s="1314"/>
      <c r="F31" s="1314"/>
      <c r="G31" s="1314"/>
      <c r="H31" s="1314"/>
      <c r="I31" s="1314"/>
      <c r="J31" s="1314"/>
      <c r="K31" s="1314"/>
      <c r="L31" s="1314"/>
      <c r="M31" s="1314"/>
      <c r="N31" s="1314"/>
      <c r="O31" s="83"/>
      <c r="P31" s="84"/>
      <c r="S31" s="50"/>
      <c r="T31" s="50"/>
      <c r="AF31" s="50"/>
      <c r="AG31" s="50"/>
      <c r="AS31" s="50"/>
      <c r="AT31" s="50"/>
    </row>
    <row r="32" spans="1:76" s="82" customFormat="1" ht="36.75" customHeight="1">
      <c r="A32" s="229" t="s">
        <v>306</v>
      </c>
      <c r="B32" s="225" t="s">
        <v>595</v>
      </c>
      <c r="C32" s="478">
        <v>0.87</v>
      </c>
      <c r="D32" s="227">
        <v>2008</v>
      </c>
      <c r="E32" s="478">
        <v>0</v>
      </c>
      <c r="F32" s="392"/>
      <c r="G32" s="481">
        <v>0</v>
      </c>
      <c r="H32" s="392"/>
      <c r="I32" s="481">
        <v>0</v>
      </c>
      <c r="J32" s="392"/>
      <c r="K32" s="478">
        <v>0.95</v>
      </c>
      <c r="L32" s="392"/>
      <c r="M32" s="76"/>
      <c r="N32" s="392"/>
      <c r="O32" s="229" t="s">
        <v>319</v>
      </c>
      <c r="P32" s="229" t="s">
        <v>320</v>
      </c>
      <c r="Q32" s="77"/>
      <c r="R32" s="77"/>
      <c r="S32" s="77"/>
      <c r="T32" s="78"/>
      <c r="U32" s="78"/>
      <c r="V32" s="79"/>
      <c r="W32" s="80"/>
      <c r="X32" s="80"/>
      <c r="Y32" s="80"/>
      <c r="Z32" s="77"/>
      <c r="AA32" s="77"/>
      <c r="AB32" s="77"/>
      <c r="AC32" s="77"/>
      <c r="AD32" s="77"/>
      <c r="AE32" s="77"/>
      <c r="AF32" s="77"/>
      <c r="AG32" s="78"/>
      <c r="AH32" s="78"/>
      <c r="AI32" s="79"/>
      <c r="AJ32" s="80"/>
      <c r="AK32" s="80"/>
      <c r="AL32" s="80"/>
      <c r="AM32" s="77"/>
      <c r="AN32" s="77"/>
      <c r="AO32" s="77"/>
      <c r="AP32" s="77"/>
      <c r="AQ32" s="77"/>
      <c r="AR32" s="77"/>
      <c r="AS32" s="77"/>
      <c r="AT32" s="78"/>
      <c r="AU32" s="78"/>
      <c r="AV32" s="79"/>
      <c r="AW32" s="80"/>
      <c r="AX32" s="80"/>
      <c r="AY32" s="80"/>
      <c r="AZ32" s="77"/>
      <c r="BA32" s="77"/>
      <c r="BB32" s="77"/>
      <c r="BC32" s="77"/>
      <c r="BD32" s="77"/>
      <c r="BE32" s="77"/>
      <c r="BF32" s="77"/>
      <c r="BG32" s="81"/>
      <c r="BH32" s="81"/>
      <c r="BI32" s="81"/>
      <c r="BJ32" s="81"/>
      <c r="BK32" s="81"/>
      <c r="BL32" s="81"/>
      <c r="BM32" s="81"/>
      <c r="BN32" s="81"/>
      <c r="BO32" s="81"/>
      <c r="BP32" s="81"/>
      <c r="BQ32" s="81"/>
      <c r="BR32" s="81"/>
      <c r="BS32" s="81"/>
      <c r="BT32" s="81"/>
      <c r="BU32" s="81"/>
      <c r="BV32" s="81"/>
      <c r="BW32" s="81"/>
      <c r="BX32" s="81"/>
    </row>
    <row r="33" spans="1:75" s="73" customFormat="1" ht="15">
      <c r="A33" s="1313" t="s">
        <v>1426</v>
      </c>
      <c r="B33" s="1314"/>
      <c r="C33" s="1314"/>
      <c r="D33" s="1314"/>
      <c r="E33" s="1314"/>
      <c r="F33" s="1314"/>
      <c r="G33" s="1314"/>
      <c r="H33" s="1314"/>
      <c r="I33" s="1314"/>
      <c r="J33" s="1314"/>
      <c r="K33" s="1314"/>
      <c r="L33" s="1314"/>
      <c r="M33" s="1314"/>
      <c r="N33" s="1314"/>
      <c r="O33" s="67"/>
      <c r="P33" s="68"/>
      <c r="Q33" s="69"/>
      <c r="R33" s="69"/>
      <c r="S33" s="45"/>
      <c r="T33" s="45"/>
      <c r="U33" s="70"/>
      <c r="V33" s="71"/>
      <c r="W33" s="71"/>
      <c r="X33" s="71"/>
      <c r="Y33" s="69"/>
      <c r="Z33" s="69"/>
      <c r="AA33" s="69"/>
      <c r="AB33" s="69"/>
      <c r="AC33" s="69"/>
      <c r="AD33" s="69"/>
      <c r="AE33" s="69"/>
      <c r="AF33" s="45"/>
      <c r="AG33" s="45"/>
      <c r="AH33" s="70"/>
      <c r="AI33" s="71"/>
      <c r="AJ33" s="71"/>
      <c r="AK33" s="71"/>
      <c r="AL33" s="69"/>
      <c r="AM33" s="69"/>
      <c r="AN33" s="69"/>
      <c r="AO33" s="69"/>
      <c r="AP33" s="69"/>
      <c r="AQ33" s="69"/>
      <c r="AR33" s="69"/>
      <c r="AS33" s="45"/>
      <c r="AT33" s="45"/>
      <c r="AU33" s="70"/>
      <c r="AV33" s="71"/>
      <c r="AW33" s="71"/>
      <c r="AX33" s="71"/>
      <c r="AY33" s="69"/>
      <c r="AZ33" s="69"/>
      <c r="BA33" s="69"/>
      <c r="BB33" s="69"/>
      <c r="BC33" s="69"/>
      <c r="BD33" s="69"/>
      <c r="BE33" s="69"/>
      <c r="BF33" s="72"/>
      <c r="BG33" s="72"/>
      <c r="BH33" s="72"/>
      <c r="BI33" s="72"/>
      <c r="BJ33" s="72"/>
      <c r="BK33" s="72"/>
      <c r="BL33" s="72"/>
      <c r="BM33" s="72"/>
      <c r="BN33" s="72"/>
      <c r="BO33" s="72"/>
      <c r="BP33" s="72"/>
      <c r="BQ33" s="72"/>
      <c r="BR33" s="72"/>
      <c r="BS33" s="72"/>
      <c r="BT33" s="72"/>
      <c r="BU33" s="72"/>
      <c r="BV33" s="72"/>
      <c r="BW33" s="72"/>
    </row>
    <row r="34" spans="1:76" s="82" customFormat="1" ht="106.5" customHeight="1">
      <c r="A34" s="229" t="s">
        <v>1201</v>
      </c>
      <c r="B34" s="225" t="s">
        <v>595</v>
      </c>
      <c r="C34" s="225">
        <v>0</v>
      </c>
      <c r="D34" s="227">
        <v>2007</v>
      </c>
      <c r="E34" s="478">
        <v>0</v>
      </c>
      <c r="F34" s="392"/>
      <c r="G34" s="481">
        <v>0.4</v>
      </c>
      <c r="H34" s="1121">
        <v>0.947</v>
      </c>
      <c r="I34" s="481">
        <v>0.6</v>
      </c>
      <c r="J34" s="392"/>
      <c r="K34" s="478">
        <v>1</v>
      </c>
      <c r="L34" s="392"/>
      <c r="M34" s="76"/>
      <c r="N34" s="392"/>
      <c r="O34" s="229" t="s">
        <v>1199</v>
      </c>
      <c r="P34" s="229" t="s">
        <v>1200</v>
      </c>
      <c r="Q34" s="77"/>
      <c r="R34" s="77"/>
      <c r="S34" s="77"/>
      <c r="T34" s="78"/>
      <c r="U34" s="78"/>
      <c r="V34" s="79"/>
      <c r="W34" s="80"/>
      <c r="X34" s="80"/>
      <c r="Y34" s="80"/>
      <c r="Z34" s="77"/>
      <c r="AA34" s="77"/>
      <c r="AB34" s="77"/>
      <c r="AC34" s="77"/>
      <c r="AD34" s="77"/>
      <c r="AE34" s="77"/>
      <c r="AF34" s="77"/>
      <c r="AG34" s="78"/>
      <c r="AH34" s="78"/>
      <c r="AI34" s="79"/>
      <c r="AJ34" s="80"/>
      <c r="AK34" s="80"/>
      <c r="AL34" s="80"/>
      <c r="AM34" s="77"/>
      <c r="AN34" s="77"/>
      <c r="AO34" s="77"/>
      <c r="AP34" s="77"/>
      <c r="AQ34" s="77"/>
      <c r="AR34" s="77"/>
      <c r="AS34" s="77"/>
      <c r="AT34" s="78"/>
      <c r="AU34" s="78"/>
      <c r="AV34" s="79"/>
      <c r="AW34" s="80"/>
      <c r="AX34" s="80"/>
      <c r="AY34" s="80"/>
      <c r="AZ34" s="77"/>
      <c r="BA34" s="77"/>
      <c r="BB34" s="77"/>
      <c r="BC34" s="77"/>
      <c r="BD34" s="77"/>
      <c r="BE34" s="77"/>
      <c r="BF34" s="77"/>
      <c r="BG34" s="81"/>
      <c r="BH34" s="81"/>
      <c r="BI34" s="81"/>
      <c r="BJ34" s="81"/>
      <c r="BK34" s="81"/>
      <c r="BL34" s="81"/>
      <c r="BM34" s="81"/>
      <c r="BN34" s="81"/>
      <c r="BO34" s="81"/>
      <c r="BP34" s="81"/>
      <c r="BQ34" s="81"/>
      <c r="BR34" s="81"/>
      <c r="BS34" s="81"/>
      <c r="BT34" s="81"/>
      <c r="BU34" s="81"/>
      <c r="BV34" s="81"/>
      <c r="BW34" s="81"/>
      <c r="BX34" s="81"/>
    </row>
    <row r="35" spans="1:75" s="991" customFormat="1" ht="21.75" customHeight="1" collapsed="1">
      <c r="A35" s="1313" t="s">
        <v>1427</v>
      </c>
      <c r="B35" s="1314"/>
      <c r="C35" s="1314"/>
      <c r="D35" s="1314"/>
      <c r="E35" s="1314"/>
      <c r="F35" s="1314"/>
      <c r="G35" s="1314"/>
      <c r="H35" s="1314"/>
      <c r="I35" s="1314"/>
      <c r="J35" s="1314"/>
      <c r="K35" s="1314"/>
      <c r="L35" s="1314"/>
      <c r="M35" s="1314"/>
      <c r="N35" s="1314"/>
      <c r="O35" s="1100"/>
      <c r="P35" s="1101"/>
      <c r="Q35" s="988"/>
      <c r="R35" s="988"/>
      <c r="S35" s="1102"/>
      <c r="T35" s="1102"/>
      <c r="U35" s="990"/>
      <c r="V35" s="989"/>
      <c r="W35" s="989"/>
      <c r="X35" s="989"/>
      <c r="Y35" s="988"/>
      <c r="Z35" s="988"/>
      <c r="AA35" s="988"/>
      <c r="AB35" s="988"/>
      <c r="AC35" s="988"/>
      <c r="AD35" s="988"/>
      <c r="AE35" s="988"/>
      <c r="AF35" s="1102"/>
      <c r="AG35" s="1102"/>
      <c r="AH35" s="990"/>
      <c r="AI35" s="989"/>
      <c r="AJ35" s="989"/>
      <c r="AK35" s="989"/>
      <c r="AL35" s="988"/>
      <c r="AM35" s="988"/>
      <c r="AN35" s="988"/>
      <c r="AO35" s="988"/>
      <c r="AP35" s="988"/>
      <c r="AQ35" s="988"/>
      <c r="AR35" s="988"/>
      <c r="AS35" s="1102"/>
      <c r="AT35" s="1102"/>
      <c r="AU35" s="990"/>
      <c r="AV35" s="989"/>
      <c r="AW35" s="989"/>
      <c r="AX35" s="989"/>
      <c r="AY35" s="988"/>
      <c r="AZ35" s="988"/>
      <c r="BA35" s="988"/>
      <c r="BB35" s="988"/>
      <c r="BC35" s="988"/>
      <c r="BD35" s="988"/>
      <c r="BE35" s="988"/>
      <c r="BF35" s="985"/>
      <c r="BG35" s="985"/>
      <c r="BH35" s="985"/>
      <c r="BI35" s="985"/>
      <c r="BJ35" s="985"/>
      <c r="BK35" s="985"/>
      <c r="BL35" s="985"/>
      <c r="BM35" s="985"/>
      <c r="BN35" s="985"/>
      <c r="BO35" s="985"/>
      <c r="BP35" s="985"/>
      <c r="BQ35" s="985"/>
      <c r="BR35" s="985"/>
      <c r="BS35" s="985"/>
      <c r="BT35" s="985"/>
      <c r="BU35" s="985"/>
      <c r="BV35" s="985"/>
      <c r="BW35" s="985"/>
    </row>
    <row r="36" spans="1:76" s="1109" customFormat="1" ht="31.5">
      <c r="A36" s="229" t="s">
        <v>1172</v>
      </c>
      <c r="B36" s="225" t="s">
        <v>1173</v>
      </c>
      <c r="C36" s="225">
        <v>0</v>
      </c>
      <c r="D36" s="227">
        <v>2008</v>
      </c>
      <c r="E36" s="225">
        <v>0</v>
      </c>
      <c r="F36" s="1103"/>
      <c r="G36" s="225">
        <v>0</v>
      </c>
      <c r="H36" s="1103"/>
      <c r="I36" s="225">
        <v>0</v>
      </c>
      <c r="J36" s="1103"/>
      <c r="K36" s="225">
        <v>540</v>
      </c>
      <c r="L36" s="1103"/>
      <c r="M36" s="1104"/>
      <c r="N36" s="1103"/>
      <c r="O36" s="229" t="s">
        <v>1171</v>
      </c>
      <c r="P36" s="229" t="s">
        <v>311</v>
      </c>
      <c r="Q36" s="1105"/>
      <c r="R36" s="1105"/>
      <c r="S36" s="1105"/>
      <c r="T36" s="78"/>
      <c r="U36" s="78"/>
      <c r="V36" s="1106"/>
      <c r="W36" s="1107"/>
      <c r="X36" s="1107"/>
      <c r="Y36" s="1107"/>
      <c r="Z36" s="1105"/>
      <c r="AA36" s="1105"/>
      <c r="AB36" s="1105"/>
      <c r="AC36" s="1105"/>
      <c r="AD36" s="1105"/>
      <c r="AE36" s="1105"/>
      <c r="AF36" s="1105"/>
      <c r="AG36" s="78"/>
      <c r="AH36" s="78"/>
      <c r="AI36" s="1106"/>
      <c r="AJ36" s="1107"/>
      <c r="AK36" s="1107"/>
      <c r="AL36" s="1107"/>
      <c r="AM36" s="1105"/>
      <c r="AN36" s="1105"/>
      <c r="AO36" s="1105"/>
      <c r="AP36" s="1105"/>
      <c r="AQ36" s="1105"/>
      <c r="AR36" s="1105"/>
      <c r="AS36" s="1105"/>
      <c r="AT36" s="78"/>
      <c r="AU36" s="78"/>
      <c r="AV36" s="1106"/>
      <c r="AW36" s="1107"/>
      <c r="AX36" s="1107"/>
      <c r="AY36" s="1107"/>
      <c r="AZ36" s="1105"/>
      <c r="BA36" s="1105"/>
      <c r="BB36" s="1105"/>
      <c r="BC36" s="1105"/>
      <c r="BD36" s="1105"/>
      <c r="BE36" s="1105"/>
      <c r="BF36" s="1105"/>
      <c r="BG36" s="1108"/>
      <c r="BH36" s="1108"/>
      <c r="BI36" s="1108"/>
      <c r="BJ36" s="1108"/>
      <c r="BK36" s="1108"/>
      <c r="BL36" s="1108"/>
      <c r="BM36" s="1108"/>
      <c r="BN36" s="1108"/>
      <c r="BO36" s="1108"/>
      <c r="BP36" s="1108"/>
      <c r="BQ36" s="1108"/>
      <c r="BR36" s="1108"/>
      <c r="BS36" s="1108"/>
      <c r="BT36" s="1108"/>
      <c r="BU36" s="1108"/>
      <c r="BV36" s="1108"/>
      <c r="BW36" s="1108"/>
      <c r="BX36" s="1108"/>
    </row>
    <row r="37" spans="1:75" s="73" customFormat="1" ht="15">
      <c r="A37" s="1313" t="s">
        <v>1428</v>
      </c>
      <c r="B37" s="1314"/>
      <c r="C37" s="1314"/>
      <c r="D37" s="1314"/>
      <c r="E37" s="1314"/>
      <c r="F37" s="1314"/>
      <c r="G37" s="1314"/>
      <c r="H37" s="1314"/>
      <c r="I37" s="1314"/>
      <c r="J37" s="1314"/>
      <c r="K37" s="1314"/>
      <c r="L37" s="1314"/>
      <c r="M37" s="1314"/>
      <c r="N37" s="1314"/>
      <c r="O37" s="67"/>
      <c r="P37" s="68"/>
      <c r="Q37" s="69"/>
      <c r="R37" s="69"/>
      <c r="S37" s="45"/>
      <c r="T37" s="45"/>
      <c r="U37" s="70"/>
      <c r="V37" s="71"/>
      <c r="W37" s="71"/>
      <c r="X37" s="71"/>
      <c r="Y37" s="69"/>
      <c r="Z37" s="69"/>
      <c r="AA37" s="69"/>
      <c r="AB37" s="69"/>
      <c r="AC37" s="69"/>
      <c r="AD37" s="69"/>
      <c r="AE37" s="69"/>
      <c r="AF37" s="45"/>
      <c r="AG37" s="45"/>
      <c r="AH37" s="70"/>
      <c r="AI37" s="71"/>
      <c r="AJ37" s="71"/>
      <c r="AK37" s="71"/>
      <c r="AL37" s="69"/>
      <c r="AM37" s="69"/>
      <c r="AN37" s="69"/>
      <c r="AO37" s="69"/>
      <c r="AP37" s="69"/>
      <c r="AQ37" s="69"/>
      <c r="AR37" s="69"/>
      <c r="AS37" s="45"/>
      <c r="AT37" s="45"/>
      <c r="AU37" s="70"/>
      <c r="AV37" s="71"/>
      <c r="AW37" s="71"/>
      <c r="AX37" s="71"/>
      <c r="AY37" s="69"/>
      <c r="AZ37" s="69"/>
      <c r="BA37" s="69"/>
      <c r="BB37" s="69"/>
      <c r="BC37" s="69"/>
      <c r="BD37" s="69"/>
      <c r="BE37" s="69"/>
      <c r="BF37" s="72"/>
      <c r="BG37" s="72"/>
      <c r="BH37" s="72"/>
      <c r="BI37" s="72"/>
      <c r="BJ37" s="72"/>
      <c r="BK37" s="72"/>
      <c r="BL37" s="72"/>
      <c r="BM37" s="72"/>
      <c r="BN37" s="72"/>
      <c r="BO37" s="72"/>
      <c r="BP37" s="72"/>
      <c r="BQ37" s="72"/>
      <c r="BR37" s="72"/>
      <c r="BS37" s="72"/>
      <c r="BT37" s="72"/>
      <c r="BU37" s="72"/>
      <c r="BV37" s="72"/>
      <c r="BW37" s="72"/>
    </row>
    <row r="38" spans="1:76" s="82" customFormat="1" ht="32.25" thickBot="1">
      <c r="A38" s="229" t="s">
        <v>309</v>
      </c>
      <c r="B38" s="225" t="s">
        <v>595</v>
      </c>
      <c r="C38" s="225">
        <v>20</v>
      </c>
      <c r="D38" s="227">
        <v>2007</v>
      </c>
      <c r="E38" s="478">
        <v>0</v>
      </c>
      <c r="F38" s="392"/>
      <c r="G38" s="481">
        <v>0</v>
      </c>
      <c r="H38" s="392"/>
      <c r="I38" s="481">
        <v>0.3</v>
      </c>
      <c r="J38" s="392"/>
      <c r="K38" s="478">
        <v>0.4</v>
      </c>
      <c r="L38" s="392"/>
      <c r="M38" s="85"/>
      <c r="N38" s="392"/>
      <c r="O38" s="229" t="s">
        <v>310</v>
      </c>
      <c r="P38" s="229" t="s">
        <v>311</v>
      </c>
      <c r="Q38" s="77"/>
      <c r="R38" s="77"/>
      <c r="S38" s="77"/>
      <c r="T38" s="78"/>
      <c r="U38" s="78"/>
      <c r="V38" s="79"/>
      <c r="W38" s="80"/>
      <c r="X38" s="80"/>
      <c r="Y38" s="80"/>
      <c r="Z38" s="77"/>
      <c r="AA38" s="77"/>
      <c r="AB38" s="77"/>
      <c r="AC38" s="77"/>
      <c r="AD38" s="77"/>
      <c r="AE38" s="77"/>
      <c r="AF38" s="77"/>
      <c r="AG38" s="78"/>
      <c r="AH38" s="78"/>
      <c r="AI38" s="79"/>
      <c r="AJ38" s="80"/>
      <c r="AK38" s="80"/>
      <c r="AL38" s="80"/>
      <c r="AM38" s="77"/>
      <c r="AN38" s="77"/>
      <c r="AO38" s="77"/>
      <c r="AP38" s="77"/>
      <c r="AQ38" s="77"/>
      <c r="AR38" s="77"/>
      <c r="AS38" s="77"/>
      <c r="AT38" s="78"/>
      <c r="AU38" s="78"/>
      <c r="AV38" s="79"/>
      <c r="AW38" s="80"/>
      <c r="AX38" s="80"/>
      <c r="AY38" s="80"/>
      <c r="AZ38" s="77"/>
      <c r="BA38" s="77"/>
      <c r="BB38" s="77"/>
      <c r="BC38" s="77"/>
      <c r="BD38" s="77"/>
      <c r="BE38" s="77"/>
      <c r="BF38" s="77"/>
      <c r="BG38" s="81"/>
      <c r="BH38" s="81"/>
      <c r="BI38" s="81"/>
      <c r="BJ38" s="81"/>
      <c r="BK38" s="81"/>
      <c r="BL38" s="81"/>
      <c r="BM38" s="81"/>
      <c r="BN38" s="81"/>
      <c r="BO38" s="81"/>
      <c r="BP38" s="81"/>
      <c r="BQ38" s="81"/>
      <c r="BR38" s="81"/>
      <c r="BS38" s="81"/>
      <c r="BT38" s="81"/>
      <c r="BU38" s="81"/>
      <c r="BV38" s="81"/>
      <c r="BW38" s="81"/>
      <c r="BX38" s="81"/>
    </row>
    <row r="39" spans="1:46" ht="15">
      <c r="A39" s="86"/>
      <c r="B39" s="87"/>
      <c r="C39" s="88"/>
      <c r="D39" s="88"/>
      <c r="E39" s="89"/>
      <c r="F39" s="88"/>
      <c r="G39" s="88"/>
      <c r="H39" s="88"/>
      <c r="I39" s="88"/>
      <c r="J39" s="88"/>
      <c r="K39" s="88"/>
      <c r="L39" s="88"/>
      <c r="M39" s="89"/>
      <c r="S39" s="50"/>
      <c r="T39" s="50"/>
      <c r="AF39" s="50"/>
      <c r="AG39" s="50"/>
      <c r="AS39" s="50"/>
      <c r="AT39" s="50"/>
    </row>
    <row r="40" spans="1:46" ht="15">
      <c r="A40" s="86"/>
      <c r="B40" s="87"/>
      <c r="C40" s="88"/>
      <c r="D40" s="88"/>
      <c r="E40" s="89"/>
      <c r="F40" s="88"/>
      <c r="G40" s="88"/>
      <c r="H40" s="88"/>
      <c r="I40" s="88"/>
      <c r="J40" s="88"/>
      <c r="K40" s="88"/>
      <c r="L40" s="88"/>
      <c r="M40" s="89"/>
      <c r="S40" s="50"/>
      <c r="T40" s="50"/>
      <c r="AF40" s="50"/>
      <c r="AG40" s="50"/>
      <c r="AS40" s="50"/>
      <c r="AT40" s="50"/>
    </row>
    <row r="41" spans="1:46" ht="15">
      <c r="A41" s="86"/>
      <c r="B41" s="87"/>
      <c r="C41" s="88"/>
      <c r="D41" s="88"/>
      <c r="E41" s="89"/>
      <c r="F41" s="88"/>
      <c r="G41" s="88"/>
      <c r="H41" s="88"/>
      <c r="I41" s="88"/>
      <c r="J41" s="88"/>
      <c r="K41" s="88"/>
      <c r="L41" s="88"/>
      <c r="M41" s="89"/>
      <c r="S41" s="50"/>
      <c r="T41" s="50"/>
      <c r="AF41" s="50"/>
      <c r="AG41" s="50"/>
      <c r="AS41" s="50"/>
      <c r="AT41" s="50"/>
    </row>
    <row r="42" spans="1:46" ht="15">
      <c r="A42" s="86"/>
      <c r="B42" s="87"/>
      <c r="C42" s="88"/>
      <c r="D42" s="88"/>
      <c r="E42" s="89"/>
      <c r="F42" s="88"/>
      <c r="G42" s="88"/>
      <c r="H42" s="88"/>
      <c r="I42" s="88"/>
      <c r="J42" s="88"/>
      <c r="K42" s="88"/>
      <c r="L42" s="88"/>
      <c r="M42" s="89"/>
      <c r="S42" s="50"/>
      <c r="T42" s="50"/>
      <c r="AF42" s="50"/>
      <c r="AG42" s="50"/>
      <c r="AS42" s="50"/>
      <c r="AT42" s="50"/>
    </row>
    <row r="43" spans="1:46" ht="15">
      <c r="A43" s="86"/>
      <c r="B43" s="87"/>
      <c r="C43" s="88"/>
      <c r="D43" s="88"/>
      <c r="E43" s="89"/>
      <c r="F43" s="88"/>
      <c r="G43" s="88"/>
      <c r="H43" s="88"/>
      <c r="I43" s="88"/>
      <c r="J43" s="88"/>
      <c r="K43" s="88"/>
      <c r="L43" s="88"/>
      <c r="M43" s="89"/>
      <c r="S43" s="50"/>
      <c r="T43" s="50"/>
      <c r="AF43" s="50"/>
      <c r="AG43" s="50"/>
      <c r="AS43" s="50"/>
      <c r="AT43" s="50"/>
    </row>
    <row r="44" spans="1:46" ht="15">
      <c r="A44" s="86"/>
      <c r="B44" s="87"/>
      <c r="C44" s="88"/>
      <c r="D44" s="88"/>
      <c r="E44" s="89"/>
      <c r="F44" s="88"/>
      <c r="G44" s="88"/>
      <c r="H44" s="88"/>
      <c r="I44" s="88"/>
      <c r="J44" s="88"/>
      <c r="K44" s="88"/>
      <c r="L44" s="88"/>
      <c r="M44" s="89"/>
      <c r="S44" s="50"/>
      <c r="T44" s="50"/>
      <c r="AF44" s="50"/>
      <c r="AG44" s="50"/>
      <c r="AS44" s="50"/>
      <c r="AT44" s="50"/>
    </row>
    <row r="45" spans="1:46" ht="15">
      <c r="A45" s="86"/>
      <c r="B45" s="87"/>
      <c r="C45" s="88"/>
      <c r="D45" s="88"/>
      <c r="E45" s="89"/>
      <c r="F45" s="88"/>
      <c r="G45" s="88"/>
      <c r="H45" s="88"/>
      <c r="I45" s="88"/>
      <c r="J45" s="88"/>
      <c r="K45" s="88"/>
      <c r="L45" s="88"/>
      <c r="M45" s="89"/>
      <c r="S45" s="50"/>
      <c r="T45" s="50"/>
      <c r="AF45" s="50"/>
      <c r="AG45" s="50"/>
      <c r="AS45" s="50"/>
      <c r="AT45" s="50"/>
    </row>
    <row r="46" spans="1:46" ht="15">
      <c r="A46" s="86"/>
      <c r="B46" s="87"/>
      <c r="C46" s="88"/>
      <c r="D46" s="88"/>
      <c r="E46" s="89"/>
      <c r="F46" s="88"/>
      <c r="G46" s="88"/>
      <c r="H46" s="88"/>
      <c r="I46" s="88"/>
      <c r="J46" s="88"/>
      <c r="K46" s="88"/>
      <c r="L46" s="88"/>
      <c r="M46" s="89"/>
      <c r="S46" s="50"/>
      <c r="T46" s="50"/>
      <c r="AF46" s="50"/>
      <c r="AG46" s="50"/>
      <c r="AS46" s="50"/>
      <c r="AT46" s="50"/>
    </row>
    <row r="47" spans="1:46" ht="15">
      <c r="A47" s="86"/>
      <c r="B47" s="87"/>
      <c r="C47" s="88"/>
      <c r="D47" s="88"/>
      <c r="E47" s="89"/>
      <c r="F47" s="88"/>
      <c r="G47" s="88"/>
      <c r="H47" s="88"/>
      <c r="I47" s="88"/>
      <c r="J47" s="88"/>
      <c r="K47" s="88"/>
      <c r="L47" s="88"/>
      <c r="M47" s="89"/>
      <c r="S47" s="50"/>
      <c r="T47" s="50"/>
      <c r="AF47" s="50"/>
      <c r="AG47" s="50"/>
      <c r="AS47" s="50"/>
      <c r="AT47" s="50"/>
    </row>
    <row r="48" spans="1:46" ht="15">
      <c r="A48" s="86"/>
      <c r="B48" s="87"/>
      <c r="C48" s="88"/>
      <c r="D48" s="88"/>
      <c r="E48" s="89"/>
      <c r="F48" s="88"/>
      <c r="G48" s="88"/>
      <c r="H48" s="88"/>
      <c r="I48" s="88"/>
      <c r="J48" s="88"/>
      <c r="K48" s="88"/>
      <c r="L48" s="88"/>
      <c r="M48" s="89"/>
      <c r="S48" s="50"/>
      <c r="T48" s="50"/>
      <c r="AF48" s="50"/>
      <c r="AG48" s="50"/>
      <c r="AS48" s="50"/>
      <c r="AT48" s="50"/>
    </row>
    <row r="49" spans="1:46" ht="15">
      <c r="A49" s="86"/>
      <c r="B49" s="87"/>
      <c r="C49" s="88"/>
      <c r="D49" s="88"/>
      <c r="E49" s="89"/>
      <c r="F49" s="88"/>
      <c r="G49" s="88"/>
      <c r="H49" s="88"/>
      <c r="I49" s="88"/>
      <c r="J49" s="88"/>
      <c r="K49" s="88"/>
      <c r="L49" s="88"/>
      <c r="M49" s="89"/>
      <c r="S49" s="50"/>
      <c r="T49" s="50"/>
      <c r="AF49" s="50"/>
      <c r="AG49" s="50"/>
      <c r="AS49" s="50"/>
      <c r="AT49" s="50"/>
    </row>
    <row r="50" spans="1:46" ht="15">
      <c r="A50" s="86"/>
      <c r="B50" s="87"/>
      <c r="C50" s="88"/>
      <c r="D50" s="88"/>
      <c r="E50" s="89"/>
      <c r="F50" s="88"/>
      <c r="G50" s="88"/>
      <c r="H50" s="88"/>
      <c r="I50" s="88"/>
      <c r="J50" s="88"/>
      <c r="K50" s="88"/>
      <c r="L50" s="88"/>
      <c r="M50" s="89"/>
      <c r="S50" s="50"/>
      <c r="T50" s="50"/>
      <c r="AF50" s="50"/>
      <c r="AG50" s="50"/>
      <c r="AS50" s="50"/>
      <c r="AT50" s="50"/>
    </row>
    <row r="51" spans="1:46" ht="15">
      <c r="A51" s="86"/>
      <c r="B51" s="87"/>
      <c r="C51" s="88"/>
      <c r="D51" s="88"/>
      <c r="E51" s="89"/>
      <c r="F51" s="88"/>
      <c r="G51" s="88"/>
      <c r="H51" s="88"/>
      <c r="I51" s="88"/>
      <c r="J51" s="88"/>
      <c r="K51" s="88"/>
      <c r="L51" s="88"/>
      <c r="M51" s="89"/>
      <c r="S51" s="50"/>
      <c r="T51" s="50"/>
      <c r="AF51" s="50"/>
      <c r="AG51" s="50"/>
      <c r="AS51" s="50"/>
      <c r="AT51" s="50"/>
    </row>
    <row r="52" spans="1:46" ht="15">
      <c r="A52" s="86"/>
      <c r="B52" s="87"/>
      <c r="C52" s="88"/>
      <c r="D52" s="88"/>
      <c r="E52" s="89"/>
      <c r="F52" s="88"/>
      <c r="G52" s="88"/>
      <c r="H52" s="88"/>
      <c r="I52" s="88"/>
      <c r="J52" s="88"/>
      <c r="K52" s="88"/>
      <c r="L52" s="88"/>
      <c r="M52" s="89"/>
      <c r="S52" s="50"/>
      <c r="T52" s="50"/>
      <c r="AF52" s="50"/>
      <c r="AG52" s="50"/>
      <c r="AS52" s="50"/>
      <c r="AT52" s="50"/>
    </row>
    <row r="53" spans="1:46" ht="15">
      <c r="A53" s="86"/>
      <c r="B53" s="87"/>
      <c r="C53" s="88"/>
      <c r="D53" s="88"/>
      <c r="E53" s="89"/>
      <c r="F53" s="88"/>
      <c r="G53" s="88"/>
      <c r="H53" s="88"/>
      <c r="I53" s="88"/>
      <c r="J53" s="88"/>
      <c r="K53" s="88"/>
      <c r="L53" s="88"/>
      <c r="M53" s="89"/>
      <c r="S53" s="50"/>
      <c r="T53" s="50"/>
      <c r="AF53" s="50"/>
      <c r="AG53" s="50"/>
      <c r="AS53" s="50"/>
      <c r="AT53" s="50"/>
    </row>
    <row r="54" spans="1:46" ht="15">
      <c r="A54" s="86"/>
      <c r="B54" s="87"/>
      <c r="C54" s="88"/>
      <c r="D54" s="88"/>
      <c r="E54" s="89"/>
      <c r="F54" s="88"/>
      <c r="G54" s="88"/>
      <c r="H54" s="88"/>
      <c r="I54" s="88"/>
      <c r="J54" s="88"/>
      <c r="K54" s="88"/>
      <c r="L54" s="88"/>
      <c r="M54" s="89"/>
      <c r="S54" s="50"/>
      <c r="T54" s="50"/>
      <c r="AF54" s="50"/>
      <c r="AG54" s="50"/>
      <c r="AS54" s="50"/>
      <c r="AT54" s="50"/>
    </row>
    <row r="55" spans="1:46" ht="15">
      <c r="A55" s="86"/>
      <c r="B55" s="87"/>
      <c r="C55" s="88"/>
      <c r="D55" s="88"/>
      <c r="E55" s="89"/>
      <c r="F55" s="88"/>
      <c r="G55" s="88"/>
      <c r="H55" s="88"/>
      <c r="I55" s="88"/>
      <c r="J55" s="88"/>
      <c r="K55" s="88"/>
      <c r="L55" s="88"/>
      <c r="M55" s="89"/>
      <c r="S55" s="50"/>
      <c r="T55" s="50"/>
      <c r="AF55" s="50"/>
      <c r="AG55" s="50"/>
      <c r="AS55" s="50"/>
      <c r="AT55" s="50"/>
    </row>
    <row r="56" spans="1:46" ht="15">
      <c r="A56" s="86"/>
      <c r="B56" s="87"/>
      <c r="C56" s="88"/>
      <c r="D56" s="88"/>
      <c r="E56" s="89"/>
      <c r="F56" s="88"/>
      <c r="G56" s="88"/>
      <c r="H56" s="88"/>
      <c r="I56" s="88"/>
      <c r="J56" s="88"/>
      <c r="K56" s="88"/>
      <c r="L56" s="88"/>
      <c r="M56" s="89"/>
      <c r="S56" s="50"/>
      <c r="T56" s="50"/>
      <c r="AF56" s="50"/>
      <c r="AG56" s="50"/>
      <c r="AS56" s="50"/>
      <c r="AT56" s="50"/>
    </row>
    <row r="57" spans="1:46" ht="15">
      <c r="A57" s="86"/>
      <c r="B57" s="87"/>
      <c r="C57" s="88"/>
      <c r="D57" s="88"/>
      <c r="E57" s="89"/>
      <c r="F57" s="88"/>
      <c r="G57" s="88"/>
      <c r="H57" s="88"/>
      <c r="I57" s="88"/>
      <c r="J57" s="88"/>
      <c r="K57" s="88"/>
      <c r="L57" s="88"/>
      <c r="M57" s="89"/>
      <c r="S57" s="50"/>
      <c r="T57" s="50"/>
      <c r="AF57" s="50"/>
      <c r="AG57" s="50"/>
      <c r="AS57" s="50"/>
      <c r="AT57" s="50"/>
    </row>
    <row r="58" spans="1:46" ht="15">
      <c r="A58" s="86"/>
      <c r="B58" s="87"/>
      <c r="C58" s="88"/>
      <c r="D58" s="88"/>
      <c r="E58" s="89"/>
      <c r="F58" s="88"/>
      <c r="G58" s="88"/>
      <c r="H58" s="88"/>
      <c r="I58" s="88"/>
      <c r="J58" s="88"/>
      <c r="K58" s="88"/>
      <c r="L58" s="88"/>
      <c r="M58" s="89"/>
      <c r="S58" s="50"/>
      <c r="T58" s="50"/>
      <c r="AF58" s="50"/>
      <c r="AG58" s="50"/>
      <c r="AS58" s="50"/>
      <c r="AT58" s="50"/>
    </row>
    <row r="59" spans="1:46" ht="15">
      <c r="A59" s="86"/>
      <c r="B59" s="87"/>
      <c r="C59" s="88"/>
      <c r="D59" s="88"/>
      <c r="E59" s="89"/>
      <c r="F59" s="88"/>
      <c r="G59" s="88"/>
      <c r="H59" s="88"/>
      <c r="I59" s="88"/>
      <c r="J59" s="88"/>
      <c r="K59" s="88"/>
      <c r="L59" s="88"/>
      <c r="M59" s="89"/>
      <c r="S59" s="50"/>
      <c r="T59" s="50"/>
      <c r="AF59" s="50"/>
      <c r="AG59" s="50"/>
      <c r="AS59" s="50"/>
      <c r="AT59" s="50"/>
    </row>
    <row r="60" spans="1:46" ht="15">
      <c r="A60" s="86"/>
      <c r="B60" s="87"/>
      <c r="C60" s="88"/>
      <c r="D60" s="88"/>
      <c r="E60" s="89"/>
      <c r="F60" s="88"/>
      <c r="G60" s="88"/>
      <c r="H60" s="88"/>
      <c r="I60" s="88"/>
      <c r="J60" s="88"/>
      <c r="K60" s="88"/>
      <c r="L60" s="88"/>
      <c r="M60" s="89"/>
      <c r="S60" s="50"/>
      <c r="T60" s="50"/>
      <c r="AF60" s="50"/>
      <c r="AG60" s="50"/>
      <c r="AS60" s="50"/>
      <c r="AT60" s="50"/>
    </row>
    <row r="61" spans="1:46" ht="15">
      <c r="A61" s="86"/>
      <c r="B61" s="87"/>
      <c r="C61" s="88"/>
      <c r="D61" s="88"/>
      <c r="E61" s="89"/>
      <c r="F61" s="88"/>
      <c r="G61" s="88"/>
      <c r="H61" s="88"/>
      <c r="I61" s="88"/>
      <c r="J61" s="88"/>
      <c r="K61" s="88"/>
      <c r="L61" s="88"/>
      <c r="M61" s="89"/>
      <c r="S61" s="50"/>
      <c r="T61" s="50"/>
      <c r="AF61" s="50"/>
      <c r="AG61" s="50"/>
      <c r="AS61" s="50"/>
      <c r="AT61" s="50"/>
    </row>
    <row r="62" spans="1:46" ht="15">
      <c r="A62" s="86"/>
      <c r="B62" s="87"/>
      <c r="C62" s="88"/>
      <c r="D62" s="88"/>
      <c r="E62" s="89"/>
      <c r="F62" s="88"/>
      <c r="G62" s="88"/>
      <c r="H62" s="88"/>
      <c r="I62" s="88"/>
      <c r="J62" s="88"/>
      <c r="K62" s="88"/>
      <c r="L62" s="88"/>
      <c r="M62" s="89"/>
      <c r="S62" s="50"/>
      <c r="T62" s="50"/>
      <c r="AF62" s="50"/>
      <c r="AG62" s="50"/>
      <c r="AS62" s="50"/>
      <c r="AT62" s="50"/>
    </row>
    <row r="63" spans="1:46" ht="15">
      <c r="A63" s="86"/>
      <c r="B63" s="87"/>
      <c r="C63" s="88"/>
      <c r="D63" s="88"/>
      <c r="E63" s="89"/>
      <c r="F63" s="88"/>
      <c r="G63" s="88"/>
      <c r="H63" s="88"/>
      <c r="I63" s="88"/>
      <c r="J63" s="88"/>
      <c r="K63" s="88"/>
      <c r="L63" s="88"/>
      <c r="M63" s="89"/>
      <c r="S63" s="50"/>
      <c r="T63" s="50"/>
      <c r="AF63" s="50"/>
      <c r="AG63" s="50"/>
      <c r="AS63" s="50"/>
      <c r="AT63" s="50"/>
    </row>
    <row r="64" spans="1:46" ht="15">
      <c r="A64" s="86"/>
      <c r="B64" s="87"/>
      <c r="C64" s="88"/>
      <c r="D64" s="88"/>
      <c r="E64" s="89"/>
      <c r="F64" s="88"/>
      <c r="G64" s="88"/>
      <c r="H64" s="88"/>
      <c r="I64" s="88"/>
      <c r="J64" s="88"/>
      <c r="K64" s="88"/>
      <c r="L64" s="88"/>
      <c r="M64" s="89"/>
      <c r="S64" s="50"/>
      <c r="T64" s="50"/>
      <c r="AF64" s="50"/>
      <c r="AG64" s="50"/>
      <c r="AS64" s="50"/>
      <c r="AT64" s="50"/>
    </row>
    <row r="65" spans="1:46" ht="15">
      <c r="A65" s="86"/>
      <c r="B65" s="87"/>
      <c r="C65" s="88"/>
      <c r="D65" s="88"/>
      <c r="E65" s="89"/>
      <c r="F65" s="88"/>
      <c r="G65" s="88"/>
      <c r="H65" s="88"/>
      <c r="I65" s="88"/>
      <c r="J65" s="88"/>
      <c r="K65" s="88"/>
      <c r="L65" s="88"/>
      <c r="M65" s="89"/>
      <c r="S65" s="50"/>
      <c r="T65" s="50"/>
      <c r="AF65" s="50"/>
      <c r="AG65" s="50"/>
      <c r="AS65" s="50"/>
      <c r="AT65" s="50"/>
    </row>
    <row r="66" spans="1:46" ht="15">
      <c r="A66" s="86"/>
      <c r="B66" s="87"/>
      <c r="C66" s="88"/>
      <c r="D66" s="88"/>
      <c r="E66" s="89"/>
      <c r="F66" s="88"/>
      <c r="G66" s="88"/>
      <c r="H66" s="88"/>
      <c r="I66" s="88"/>
      <c r="J66" s="88"/>
      <c r="K66" s="88"/>
      <c r="L66" s="88"/>
      <c r="M66" s="89"/>
      <c r="S66" s="50"/>
      <c r="T66" s="50"/>
      <c r="AF66" s="50"/>
      <c r="AG66" s="50"/>
      <c r="AS66" s="50"/>
      <c r="AT66" s="50"/>
    </row>
    <row r="67" spans="1:46" ht="15">
      <c r="A67" s="86"/>
      <c r="B67" s="87"/>
      <c r="C67" s="88"/>
      <c r="D67" s="88"/>
      <c r="E67" s="89"/>
      <c r="F67" s="88"/>
      <c r="G67" s="88"/>
      <c r="H67" s="88"/>
      <c r="I67" s="88"/>
      <c r="J67" s="88"/>
      <c r="K67" s="88"/>
      <c r="L67" s="88"/>
      <c r="M67" s="89"/>
      <c r="S67" s="50"/>
      <c r="T67" s="50"/>
      <c r="AF67" s="50"/>
      <c r="AG67" s="50"/>
      <c r="AS67" s="50"/>
      <c r="AT67" s="50"/>
    </row>
    <row r="68" spans="1:46" ht="15">
      <c r="A68" s="86"/>
      <c r="B68" s="87"/>
      <c r="C68" s="88"/>
      <c r="D68" s="88"/>
      <c r="E68" s="89"/>
      <c r="F68" s="88"/>
      <c r="G68" s="88"/>
      <c r="H68" s="88"/>
      <c r="I68" s="88"/>
      <c r="J68" s="88"/>
      <c r="K68" s="88"/>
      <c r="L68" s="88"/>
      <c r="M68" s="89"/>
      <c r="S68" s="50"/>
      <c r="T68" s="50"/>
      <c r="AF68" s="50"/>
      <c r="AG68" s="50"/>
      <c r="AS68" s="50"/>
      <c r="AT68" s="50"/>
    </row>
    <row r="69" spans="1:46" ht="15">
      <c r="A69" s="86"/>
      <c r="B69" s="87"/>
      <c r="C69" s="88"/>
      <c r="D69" s="88"/>
      <c r="E69" s="89"/>
      <c r="F69" s="88"/>
      <c r="G69" s="88"/>
      <c r="H69" s="88"/>
      <c r="I69" s="88"/>
      <c r="J69" s="88"/>
      <c r="K69" s="88"/>
      <c r="L69" s="88"/>
      <c r="M69" s="89"/>
      <c r="S69" s="50"/>
      <c r="T69" s="50"/>
      <c r="AF69" s="50"/>
      <c r="AG69" s="50"/>
      <c r="AS69" s="50"/>
      <c r="AT69" s="50"/>
    </row>
    <row r="70" spans="1:46" ht="15">
      <c r="A70" s="86"/>
      <c r="B70" s="87"/>
      <c r="C70" s="88"/>
      <c r="D70" s="88"/>
      <c r="E70" s="89"/>
      <c r="F70" s="88"/>
      <c r="G70" s="88"/>
      <c r="H70" s="88"/>
      <c r="I70" s="88"/>
      <c r="J70" s="88"/>
      <c r="K70" s="88"/>
      <c r="L70" s="88"/>
      <c r="M70" s="89"/>
      <c r="S70" s="50"/>
      <c r="T70" s="50"/>
      <c r="AF70" s="50"/>
      <c r="AG70" s="50"/>
      <c r="AS70" s="50"/>
      <c r="AT70" s="50"/>
    </row>
    <row r="71" spans="1:46" ht="15">
      <c r="A71" s="86"/>
      <c r="B71" s="87"/>
      <c r="C71" s="88"/>
      <c r="D71" s="88"/>
      <c r="E71" s="89"/>
      <c r="F71" s="88"/>
      <c r="G71" s="88"/>
      <c r="H71" s="88"/>
      <c r="I71" s="88"/>
      <c r="J71" s="88"/>
      <c r="K71" s="88"/>
      <c r="L71" s="88"/>
      <c r="M71" s="89"/>
      <c r="S71" s="50"/>
      <c r="T71" s="50"/>
      <c r="AF71" s="50"/>
      <c r="AG71" s="50"/>
      <c r="AS71" s="50"/>
      <c r="AT71" s="50"/>
    </row>
    <row r="72" spans="1:46" ht="15">
      <c r="A72" s="86"/>
      <c r="B72" s="87"/>
      <c r="C72" s="88"/>
      <c r="D72" s="88"/>
      <c r="E72" s="89"/>
      <c r="F72" s="88"/>
      <c r="G72" s="88"/>
      <c r="H72" s="88"/>
      <c r="I72" s="88"/>
      <c r="J72" s="88"/>
      <c r="K72" s="88"/>
      <c r="L72" s="88"/>
      <c r="M72" s="89"/>
      <c r="S72" s="50"/>
      <c r="T72" s="50"/>
      <c r="AF72" s="50"/>
      <c r="AG72" s="50"/>
      <c r="AS72" s="50"/>
      <c r="AT72" s="50"/>
    </row>
    <row r="73" spans="1:57" ht="15">
      <c r="A73" s="86"/>
      <c r="B73" s="90"/>
      <c r="C73" s="91"/>
      <c r="D73" s="91"/>
      <c r="E73" s="92"/>
      <c r="F73" s="91"/>
      <c r="G73" s="91"/>
      <c r="H73" s="91"/>
      <c r="I73" s="91"/>
      <c r="J73" s="91"/>
      <c r="K73" s="91"/>
      <c r="L73" s="91"/>
      <c r="M73" s="92"/>
      <c r="N73" s="93"/>
      <c r="O73" s="93"/>
      <c r="P73" s="94"/>
      <c r="Q73" s="94"/>
      <c r="R73" s="94"/>
      <c r="S73" s="95"/>
      <c r="T73" s="95"/>
      <c r="U73" s="96"/>
      <c r="V73" s="93"/>
      <c r="W73" s="93"/>
      <c r="X73" s="93"/>
      <c r="Y73" s="94"/>
      <c r="Z73" s="94"/>
      <c r="AA73" s="94"/>
      <c r="AB73" s="94"/>
      <c r="AC73" s="94"/>
      <c r="AD73" s="94"/>
      <c r="AE73" s="94"/>
      <c r="AF73" s="95"/>
      <c r="AG73" s="95"/>
      <c r="AH73" s="96"/>
      <c r="AI73" s="93"/>
      <c r="AJ73" s="93"/>
      <c r="AK73" s="93"/>
      <c r="AL73" s="94"/>
      <c r="AM73" s="94"/>
      <c r="AN73" s="94"/>
      <c r="AO73" s="94"/>
      <c r="AP73" s="94"/>
      <c r="AQ73" s="94"/>
      <c r="AR73" s="94"/>
      <c r="AS73" s="95"/>
      <c r="AT73" s="95"/>
      <c r="AU73" s="96"/>
      <c r="AV73" s="93"/>
      <c r="AW73" s="93"/>
      <c r="AX73" s="93"/>
      <c r="AY73" s="94"/>
      <c r="AZ73" s="94"/>
      <c r="BA73" s="94"/>
      <c r="BB73" s="94"/>
      <c r="BC73" s="94"/>
      <c r="BD73" s="94"/>
      <c r="BE73" s="94"/>
    </row>
    <row r="74" spans="1:57" ht="60" customHeight="1">
      <c r="A74" s="97"/>
      <c r="B74" s="92"/>
      <c r="C74" s="91"/>
      <c r="D74" s="91"/>
      <c r="E74" s="92"/>
      <c r="F74" s="91"/>
      <c r="G74" s="91"/>
      <c r="H74" s="91"/>
      <c r="I74" s="91"/>
      <c r="J74" s="91"/>
      <c r="K74" s="91"/>
      <c r="L74" s="91"/>
      <c r="M74" s="92"/>
      <c r="N74" s="93"/>
      <c r="O74" s="93"/>
      <c r="P74" s="94"/>
      <c r="Q74" s="94"/>
      <c r="R74" s="94"/>
      <c r="S74" s="95"/>
      <c r="T74" s="95"/>
      <c r="U74" s="96"/>
      <c r="V74" s="93"/>
      <c r="W74" s="93"/>
      <c r="X74" s="93"/>
      <c r="Y74" s="94"/>
      <c r="Z74" s="94"/>
      <c r="AA74" s="94"/>
      <c r="AB74" s="94"/>
      <c r="AC74" s="94"/>
      <c r="AD74" s="94"/>
      <c r="AE74" s="94"/>
      <c r="AF74" s="95"/>
      <c r="AG74" s="95"/>
      <c r="AH74" s="96"/>
      <c r="AI74" s="93"/>
      <c r="AJ74" s="93"/>
      <c r="AK74" s="93"/>
      <c r="AL74" s="94"/>
      <c r="AM74" s="94"/>
      <c r="AN74" s="94"/>
      <c r="AO74" s="94"/>
      <c r="AP74" s="94"/>
      <c r="AQ74" s="94"/>
      <c r="AR74" s="94"/>
      <c r="AS74" s="95"/>
      <c r="AT74" s="95"/>
      <c r="AU74" s="96"/>
      <c r="AV74" s="93"/>
      <c r="AW74" s="93"/>
      <c r="AX74" s="93"/>
      <c r="AY74" s="94"/>
      <c r="AZ74" s="94"/>
      <c r="BA74" s="94"/>
      <c r="BB74" s="94"/>
      <c r="BC74" s="94"/>
      <c r="BD74" s="94"/>
      <c r="BE74" s="94"/>
    </row>
    <row r="75" spans="1:57" ht="29.25" customHeight="1">
      <c r="A75" s="98"/>
      <c r="B75" s="94"/>
      <c r="C75" s="94"/>
      <c r="D75" s="94"/>
      <c r="E75" s="99"/>
      <c r="F75" s="94"/>
      <c r="G75" s="94"/>
      <c r="H75" s="94"/>
      <c r="I75" s="94"/>
      <c r="J75" s="94"/>
      <c r="K75" s="94"/>
      <c r="L75" s="94"/>
      <c r="M75" s="99"/>
      <c r="N75" s="93"/>
      <c r="O75" s="93"/>
      <c r="P75" s="94"/>
      <c r="Q75" s="94"/>
      <c r="R75" s="94"/>
      <c r="S75" s="99"/>
      <c r="T75" s="99"/>
      <c r="U75" s="96"/>
      <c r="V75" s="93"/>
      <c r="W75" s="93"/>
      <c r="X75" s="93"/>
      <c r="Y75" s="94"/>
      <c r="Z75" s="94"/>
      <c r="AA75" s="94"/>
      <c r="AB75" s="94"/>
      <c r="AC75" s="94"/>
      <c r="AD75" s="94"/>
      <c r="AE75" s="94"/>
      <c r="AF75" s="99"/>
      <c r="AG75" s="99"/>
      <c r="AH75" s="96"/>
      <c r="AI75" s="93"/>
      <c r="AJ75" s="93"/>
      <c r="AK75" s="93"/>
      <c r="AL75" s="94"/>
      <c r="AM75" s="94"/>
      <c r="AN75" s="94"/>
      <c r="AO75" s="94"/>
      <c r="AP75" s="94"/>
      <c r="AQ75" s="94"/>
      <c r="AR75" s="94"/>
      <c r="AS75" s="99"/>
      <c r="AT75" s="99"/>
      <c r="AU75" s="96"/>
      <c r="AV75" s="93"/>
      <c r="AW75" s="93"/>
      <c r="AX75" s="93"/>
      <c r="AY75" s="94"/>
      <c r="AZ75" s="94"/>
      <c r="BA75" s="94"/>
      <c r="BB75" s="94"/>
      <c r="BC75" s="94"/>
      <c r="BD75" s="94"/>
      <c r="BE75" s="94"/>
    </row>
    <row r="76" spans="1:57" ht="29.25" customHeight="1">
      <c r="A76" s="98"/>
      <c r="B76" s="94"/>
      <c r="C76" s="94"/>
      <c r="D76" s="94"/>
      <c r="E76" s="99"/>
      <c r="F76" s="94"/>
      <c r="G76" s="94"/>
      <c r="H76" s="94"/>
      <c r="I76" s="94"/>
      <c r="J76" s="94"/>
      <c r="K76" s="94"/>
      <c r="L76" s="94"/>
      <c r="M76" s="99"/>
      <c r="N76" s="93"/>
      <c r="O76" s="93"/>
      <c r="P76" s="94"/>
      <c r="Q76" s="94"/>
      <c r="R76" s="94"/>
      <c r="S76" s="99"/>
      <c r="T76" s="99"/>
      <c r="U76" s="96"/>
      <c r="V76" s="93"/>
      <c r="W76" s="93"/>
      <c r="X76" s="93"/>
      <c r="Y76" s="94"/>
      <c r="Z76" s="94"/>
      <c r="AA76" s="94"/>
      <c r="AB76" s="94"/>
      <c r="AC76" s="94"/>
      <c r="AD76" s="94"/>
      <c r="AE76" s="94"/>
      <c r="AF76" s="99"/>
      <c r="AG76" s="99"/>
      <c r="AH76" s="96"/>
      <c r="AI76" s="93"/>
      <c r="AJ76" s="93"/>
      <c r="AK76" s="93"/>
      <c r="AL76" s="94"/>
      <c r="AM76" s="94"/>
      <c r="AN76" s="94"/>
      <c r="AO76" s="94"/>
      <c r="AP76" s="94"/>
      <c r="AQ76" s="94"/>
      <c r="AR76" s="94"/>
      <c r="AS76" s="99"/>
      <c r="AT76" s="99"/>
      <c r="AU76" s="96"/>
      <c r="AV76" s="93"/>
      <c r="AW76" s="93"/>
      <c r="AX76" s="93"/>
      <c r="AY76" s="94"/>
      <c r="AZ76" s="94"/>
      <c r="BA76" s="94"/>
      <c r="BB76" s="94"/>
      <c r="BC76" s="94"/>
      <c r="BD76" s="94"/>
      <c r="BE76" s="94"/>
    </row>
    <row r="77" ht="29.25" customHeight="1"/>
  </sheetData>
  <sheetProtection/>
  <mergeCells count="36">
    <mergeCell ref="A35:N35"/>
    <mergeCell ref="A19:N19"/>
    <mergeCell ref="A37:N37"/>
    <mergeCell ref="B5:D5"/>
    <mergeCell ref="E5:F5"/>
    <mergeCell ref="M5:N5"/>
    <mergeCell ref="G5:H5"/>
    <mergeCell ref="I5:J5"/>
    <mergeCell ref="A15:N15"/>
    <mergeCell ref="A33:N33"/>
    <mergeCell ref="A4:N4"/>
    <mergeCell ref="K5:L5"/>
    <mergeCell ref="A17:A18"/>
    <mergeCell ref="B17:D17"/>
    <mergeCell ref="E17:F17"/>
    <mergeCell ref="P5:P6"/>
    <mergeCell ref="O7:O12"/>
    <mergeCell ref="P7:P12"/>
    <mergeCell ref="O5:O6"/>
    <mergeCell ref="A23:N23"/>
    <mergeCell ref="A16:N16"/>
    <mergeCell ref="A21:N21"/>
    <mergeCell ref="A27:N27"/>
    <mergeCell ref="A29:N29"/>
    <mergeCell ref="A31:N31"/>
    <mergeCell ref="A25:N25"/>
    <mergeCell ref="A1:P1"/>
    <mergeCell ref="A5:A6"/>
    <mergeCell ref="G17:H17"/>
    <mergeCell ref="I17:J17"/>
    <mergeCell ref="K17:L17"/>
    <mergeCell ref="M17:N17"/>
    <mergeCell ref="O17:O18"/>
    <mergeCell ref="P17:P18"/>
    <mergeCell ref="A2:P2"/>
    <mergeCell ref="A3:N3"/>
  </mergeCells>
  <printOptions horizontalCentered="1"/>
  <pageMargins left="0.1968503937007874" right="0.1968503937007874" top="0.5905511811023623" bottom="0.5905511811023623" header="0.35433070866141736" footer="0.31496062992125984"/>
  <pageSetup horizontalDpi="600" verticalDpi="600" orientation="landscape" paperSize="9" scale="60" r:id="rId2"/>
  <drawing r:id="rId1"/>
</worksheet>
</file>

<file path=xl/worksheets/sheet5.xml><?xml version="1.0" encoding="utf-8"?>
<worksheet xmlns="http://schemas.openxmlformats.org/spreadsheetml/2006/main" xmlns:r="http://schemas.openxmlformats.org/officeDocument/2006/relationships">
  <dimension ref="A1:IL61"/>
  <sheetViews>
    <sheetView zoomScale="83" zoomScaleNormal="83" zoomScalePageLayoutView="0" workbookViewId="0" topLeftCell="A1">
      <pane ySplit="5" topLeftCell="A55" activePane="bottomLeft" state="frozen"/>
      <selection pane="topLeft" activeCell="A1" sqref="A1"/>
      <selection pane="bottomLeft" activeCell="B60" sqref="B60"/>
    </sheetView>
  </sheetViews>
  <sheetFormatPr defaultColWidth="9.140625" defaultRowHeight="12.75"/>
  <cols>
    <col min="1" max="1" width="12.28125" style="108" customWidth="1"/>
    <col min="2" max="2" width="37.8515625" style="46" customWidth="1"/>
    <col min="3" max="3" width="9.8515625" style="47" customWidth="1"/>
    <col min="4" max="4" width="8.8515625" style="44" customWidth="1"/>
    <col min="5" max="5" width="9.28125" style="69" customWidth="1"/>
    <col min="6" max="6" width="10.00390625" style="44" customWidth="1"/>
    <col min="7" max="7" width="10.421875" style="69" customWidth="1"/>
    <col min="8" max="8" width="8.140625" style="44" customWidth="1"/>
    <col min="9" max="9" width="9.421875" style="69" customWidth="1"/>
    <col min="10" max="10" width="8.8515625" style="44" customWidth="1"/>
    <col min="11" max="11" width="8.00390625" style="69" customWidth="1"/>
    <col min="12" max="12" width="9.8515625" style="44" hidden="1" customWidth="1"/>
    <col min="13" max="13" width="7.57421875" style="44" hidden="1" customWidth="1"/>
    <col min="14" max="14" width="9.8515625" style="69" hidden="1" customWidth="1"/>
    <col min="15" max="15" width="6.421875" style="69" hidden="1" customWidth="1"/>
    <col min="16" max="16" width="9.8515625" style="44" hidden="1" customWidth="1"/>
    <col min="17" max="17" width="7.57421875" style="44" hidden="1" customWidth="1"/>
    <col min="18" max="18" width="9.8515625" style="69" hidden="1" customWidth="1"/>
    <col min="19" max="19" width="6.421875" style="69" hidden="1" customWidth="1"/>
    <col min="20" max="20" width="8.57421875" style="44" hidden="1" customWidth="1"/>
    <col min="21" max="21" width="7.7109375" style="69" hidden="1" customWidth="1"/>
    <col min="22" max="22" width="1.8515625" style="69" bestFit="1" customWidth="1"/>
    <col min="23" max="23" width="2.421875" style="69" customWidth="1"/>
    <col min="24" max="24" width="2.28125" style="69" bestFit="1" customWidth="1"/>
    <col min="25" max="26" width="1.8515625" style="69" bestFit="1" customWidth="1"/>
    <col min="27" max="30" width="1.8515625" style="48" bestFit="1" customWidth="1"/>
    <col min="31" max="31" width="3.140625" style="48" bestFit="1" customWidth="1"/>
    <col min="32" max="32" width="21.421875" style="48" customWidth="1"/>
    <col min="33" max="16384" width="9.140625" style="48" customWidth="1"/>
  </cols>
  <sheetData>
    <row r="1" spans="1:76" s="49" customFormat="1" ht="36" customHeight="1" thickBot="1">
      <c r="A1" s="123"/>
      <c r="B1" s="124"/>
      <c r="C1" s="124"/>
      <c r="D1" s="124"/>
      <c r="E1" s="125"/>
      <c r="F1" s="124"/>
      <c r="G1" s="124"/>
      <c r="H1" s="124"/>
      <c r="I1" s="124"/>
      <c r="J1" s="124"/>
      <c r="K1" s="124"/>
      <c r="L1" s="124"/>
      <c r="M1" s="125"/>
      <c r="N1" s="126"/>
      <c r="O1" s="126"/>
      <c r="P1" s="124"/>
      <c r="Q1" s="124"/>
      <c r="R1" s="124"/>
      <c r="S1" s="125"/>
      <c r="T1" s="125"/>
      <c r="U1" s="127"/>
      <c r="V1" s="126"/>
      <c r="W1" s="126"/>
      <c r="X1" s="126"/>
      <c r="Y1" s="124"/>
      <c r="Z1" s="124"/>
      <c r="AA1" s="124"/>
      <c r="AB1" s="124"/>
      <c r="AC1" s="124"/>
      <c r="AD1" s="124"/>
      <c r="AE1" s="128"/>
      <c r="AF1" s="128"/>
      <c r="AG1" s="45"/>
      <c r="AH1" s="45"/>
      <c r="AI1" s="46"/>
      <c r="AJ1" s="47"/>
      <c r="AK1" s="47"/>
      <c r="AL1" s="47"/>
      <c r="AM1" s="44"/>
      <c r="AN1" s="44"/>
      <c r="AO1" s="44"/>
      <c r="AP1" s="44"/>
      <c r="AQ1" s="44"/>
      <c r="AR1" s="44"/>
      <c r="AS1" s="44"/>
      <c r="AT1" s="45"/>
      <c r="AU1" s="45"/>
      <c r="AV1" s="46"/>
      <c r="AW1" s="47"/>
      <c r="AX1" s="47"/>
      <c r="AY1" s="47"/>
      <c r="AZ1" s="44"/>
      <c r="BA1" s="44"/>
      <c r="BB1" s="44"/>
      <c r="BC1" s="44"/>
      <c r="BD1" s="44"/>
      <c r="BE1" s="44"/>
      <c r="BF1" s="44"/>
      <c r="BG1" s="48"/>
      <c r="BH1" s="48"/>
      <c r="BI1" s="48"/>
      <c r="BJ1" s="48"/>
      <c r="BK1" s="48"/>
      <c r="BL1" s="48"/>
      <c r="BM1" s="48"/>
      <c r="BN1" s="48"/>
      <c r="BO1" s="48"/>
      <c r="BP1" s="48"/>
      <c r="BQ1" s="48"/>
      <c r="BR1" s="48"/>
      <c r="BS1" s="48"/>
      <c r="BT1" s="48"/>
      <c r="BU1" s="48"/>
      <c r="BV1" s="48"/>
      <c r="BW1" s="48"/>
      <c r="BX1" s="48"/>
    </row>
    <row r="2" spans="1:32" s="9" customFormat="1" ht="15.75">
      <c r="A2" s="114" t="s">
        <v>573</v>
      </c>
      <c r="B2" s="115"/>
      <c r="C2" s="116"/>
      <c r="D2" s="116"/>
      <c r="E2" s="116"/>
      <c r="F2" s="41"/>
      <c r="G2" s="41"/>
      <c r="H2" s="41"/>
      <c r="I2" s="41"/>
      <c r="J2" s="41"/>
      <c r="K2" s="41"/>
      <c r="L2" s="41"/>
      <c r="M2" s="41"/>
      <c r="N2" s="41"/>
      <c r="O2" s="41"/>
      <c r="P2" s="41"/>
      <c r="Q2" s="41"/>
      <c r="R2" s="41"/>
      <c r="S2" s="41"/>
      <c r="T2" s="41"/>
      <c r="U2" s="41"/>
      <c r="V2" s="41"/>
      <c r="W2" s="41"/>
      <c r="X2" s="41"/>
      <c r="Y2" s="41"/>
      <c r="Z2" s="41"/>
      <c r="AA2" s="41"/>
      <c r="AB2" s="41"/>
      <c r="AC2" s="41"/>
      <c r="AD2" s="41"/>
      <c r="AE2" s="117"/>
      <c r="AF2" s="117"/>
    </row>
    <row r="3" spans="1:32" s="232" customFormat="1" ht="30.75" customHeight="1">
      <c r="A3" s="1343" t="s">
        <v>589</v>
      </c>
      <c r="B3" s="1346" t="s">
        <v>1429</v>
      </c>
      <c r="C3" s="817" t="s">
        <v>590</v>
      </c>
      <c r="D3" s="1323" t="s">
        <v>282</v>
      </c>
      <c r="E3" s="1324"/>
      <c r="F3" s="1323" t="s">
        <v>283</v>
      </c>
      <c r="G3" s="1324"/>
      <c r="H3" s="1323" t="s">
        <v>284</v>
      </c>
      <c r="I3" s="1324"/>
      <c r="J3" s="1325" t="s">
        <v>505</v>
      </c>
      <c r="K3" s="1326"/>
      <c r="L3" s="1327" t="s">
        <v>591</v>
      </c>
      <c r="M3" s="1328"/>
      <c r="N3" s="1328"/>
      <c r="O3" s="1329"/>
      <c r="P3" s="1327" t="s">
        <v>592</v>
      </c>
      <c r="Q3" s="1328"/>
      <c r="R3" s="1328"/>
      <c r="S3" s="1329"/>
      <c r="T3" s="1349" t="s">
        <v>353</v>
      </c>
      <c r="U3" s="1326"/>
      <c r="V3" s="1350" t="s">
        <v>95</v>
      </c>
      <c r="W3" s="1351"/>
      <c r="X3" s="1351"/>
      <c r="Y3" s="1351"/>
      <c r="Z3" s="1351"/>
      <c r="AA3" s="1351"/>
      <c r="AB3" s="1351"/>
      <c r="AC3" s="1351"/>
      <c r="AD3" s="1351"/>
      <c r="AE3" s="1352"/>
      <c r="AF3" s="1353" t="s">
        <v>560</v>
      </c>
    </row>
    <row r="4" spans="1:32" s="232" customFormat="1" ht="14.25" customHeight="1">
      <c r="A4" s="1344"/>
      <c r="B4" s="1347"/>
      <c r="C4" s="233" t="s">
        <v>72</v>
      </c>
      <c r="D4" s="811" t="s">
        <v>587</v>
      </c>
      <c r="E4" s="816" t="s">
        <v>593</v>
      </c>
      <c r="F4" s="811" t="s">
        <v>587</v>
      </c>
      <c r="G4" s="812" t="s">
        <v>593</v>
      </c>
      <c r="H4" s="811" t="s">
        <v>587</v>
      </c>
      <c r="I4" s="812" t="s">
        <v>593</v>
      </c>
      <c r="J4" s="811" t="s">
        <v>587</v>
      </c>
      <c r="K4" s="814" t="s">
        <v>593</v>
      </c>
      <c r="L4" s="1334" t="s">
        <v>587</v>
      </c>
      <c r="M4" s="1334"/>
      <c r="N4" s="1332" t="s">
        <v>593</v>
      </c>
      <c r="O4" s="1333"/>
      <c r="P4" s="1334" t="s">
        <v>587</v>
      </c>
      <c r="Q4" s="1334"/>
      <c r="R4" s="1332" t="s">
        <v>593</v>
      </c>
      <c r="S4" s="1333"/>
      <c r="T4" s="811" t="s">
        <v>587</v>
      </c>
      <c r="U4" s="814" t="s">
        <v>593</v>
      </c>
      <c r="V4" s="231">
        <v>1</v>
      </c>
      <c r="W4" s="231">
        <v>2</v>
      </c>
      <c r="X4" s="231">
        <v>3</v>
      </c>
      <c r="Y4" s="231">
        <v>4</v>
      </c>
      <c r="Z4" s="231">
        <v>5</v>
      </c>
      <c r="AA4" s="231">
        <v>6</v>
      </c>
      <c r="AB4" s="231">
        <v>7</v>
      </c>
      <c r="AC4" s="231">
        <v>8</v>
      </c>
      <c r="AD4" s="231">
        <v>9</v>
      </c>
      <c r="AE4" s="231">
        <v>10</v>
      </c>
      <c r="AF4" s="1347"/>
    </row>
    <row r="5" spans="1:32" s="232" customFormat="1" ht="12.75">
      <c r="A5" s="1345"/>
      <c r="B5" s="1348"/>
      <c r="C5" s="381" t="s">
        <v>594</v>
      </c>
      <c r="D5" s="813" t="s">
        <v>594</v>
      </c>
      <c r="E5" s="814" t="s">
        <v>594</v>
      </c>
      <c r="F5" s="813" t="s">
        <v>594</v>
      </c>
      <c r="G5" s="814" t="s">
        <v>594</v>
      </c>
      <c r="H5" s="813" t="s">
        <v>594</v>
      </c>
      <c r="I5" s="814" t="s">
        <v>594</v>
      </c>
      <c r="J5" s="813" t="s">
        <v>594</v>
      </c>
      <c r="K5" s="814" t="s">
        <v>594</v>
      </c>
      <c r="L5" s="1330" t="s">
        <v>594</v>
      </c>
      <c r="M5" s="1331"/>
      <c r="N5" s="1332" t="s">
        <v>594</v>
      </c>
      <c r="O5" s="1333"/>
      <c r="P5" s="1330" t="s">
        <v>594</v>
      </c>
      <c r="Q5" s="1331"/>
      <c r="R5" s="1332" t="s">
        <v>594</v>
      </c>
      <c r="S5" s="1333"/>
      <c r="T5" s="813" t="s">
        <v>594</v>
      </c>
      <c r="U5" s="814" t="s">
        <v>594</v>
      </c>
      <c r="V5" s="235"/>
      <c r="W5" s="235"/>
      <c r="X5" s="235"/>
      <c r="Y5" s="235"/>
      <c r="Z5" s="235"/>
      <c r="AA5" s="236"/>
      <c r="AB5" s="236"/>
      <c r="AC5" s="236"/>
      <c r="AD5" s="236"/>
      <c r="AE5" s="236"/>
      <c r="AF5" s="1348"/>
    </row>
    <row r="6" spans="1:246" s="244" customFormat="1" ht="27.75" customHeight="1" thickBot="1">
      <c r="A6" s="237">
        <v>1</v>
      </c>
      <c r="B6" s="238" t="s">
        <v>355</v>
      </c>
      <c r="C6" s="228"/>
      <c r="D6" s="228"/>
      <c r="E6" s="248"/>
      <c r="F6" s="228"/>
      <c r="G6" s="248"/>
      <c r="H6" s="228"/>
      <c r="I6" s="248"/>
      <c r="J6" s="228"/>
      <c r="K6" s="248"/>
      <c r="L6" s="1339"/>
      <c r="M6" s="1340"/>
      <c r="N6" s="1341"/>
      <c r="O6" s="1342"/>
      <c r="P6" s="1339"/>
      <c r="Q6" s="1340"/>
      <c r="R6" s="1341"/>
      <c r="S6" s="1342"/>
      <c r="T6" s="451"/>
      <c r="U6" s="451"/>
      <c r="V6" s="239"/>
      <c r="W6" s="239"/>
      <c r="X6" s="239"/>
      <c r="Y6" s="239"/>
      <c r="Z6" s="239"/>
      <c r="AA6" s="240"/>
      <c r="AB6" s="240"/>
      <c r="AC6" s="240"/>
      <c r="AD6" s="241"/>
      <c r="AE6" s="241"/>
      <c r="AF6" s="241"/>
      <c r="AG6" s="1338"/>
      <c r="AH6" s="1338"/>
      <c r="AI6" s="1338"/>
      <c r="AJ6" s="1338"/>
      <c r="AK6" s="1338"/>
      <c r="AL6" s="1338"/>
      <c r="AM6" s="242"/>
      <c r="AN6" s="243"/>
      <c r="AO6" s="1338"/>
      <c r="AP6" s="1338"/>
      <c r="AQ6" s="1338"/>
      <c r="AR6" s="1338"/>
      <c r="AS6" s="1338"/>
      <c r="AT6" s="1338"/>
      <c r="AU6" s="1338"/>
      <c r="AV6" s="1338"/>
      <c r="AW6" s="1338"/>
      <c r="AX6" s="1338"/>
      <c r="AY6" s="1338"/>
      <c r="AZ6" s="1338"/>
      <c r="BA6" s="1338"/>
      <c r="BB6" s="1338"/>
      <c r="BC6" s="1338"/>
      <c r="BD6" s="1338"/>
      <c r="BE6" s="1338"/>
      <c r="BF6" s="1338"/>
      <c r="BG6" s="1338"/>
      <c r="BH6" s="1338"/>
      <c r="BI6" s="1338"/>
      <c r="BJ6" s="1338"/>
      <c r="BK6" s="242"/>
      <c r="BL6" s="243"/>
      <c r="BM6" s="1338"/>
      <c r="BN6" s="1338"/>
      <c r="BO6" s="1338"/>
      <c r="BP6" s="1338"/>
      <c r="BQ6" s="1338"/>
      <c r="BR6" s="1338"/>
      <c r="BS6" s="1338"/>
      <c r="BT6" s="1338"/>
      <c r="BU6" s="1338"/>
      <c r="BV6" s="1338"/>
      <c r="BW6" s="1338"/>
      <c r="BX6" s="1338"/>
      <c r="BY6" s="1338"/>
      <c r="BZ6" s="1338"/>
      <c r="CA6" s="1338"/>
      <c r="CB6" s="1338"/>
      <c r="CC6" s="1338"/>
      <c r="CD6" s="1338"/>
      <c r="CE6" s="1338"/>
      <c r="CF6" s="1338"/>
      <c r="CG6" s="1338"/>
      <c r="CH6" s="1338"/>
      <c r="CI6" s="242"/>
      <c r="CJ6" s="243"/>
      <c r="CK6" s="1338"/>
      <c r="CL6" s="1338"/>
      <c r="CM6" s="1338"/>
      <c r="CN6" s="1338"/>
      <c r="CO6" s="1338"/>
      <c r="CP6" s="1338"/>
      <c r="CQ6" s="1338"/>
      <c r="CR6" s="1338"/>
      <c r="CS6" s="1338"/>
      <c r="CT6" s="1338"/>
      <c r="CU6" s="1338"/>
      <c r="CV6" s="1338"/>
      <c r="CW6" s="1338"/>
      <c r="CX6" s="1338"/>
      <c r="CY6" s="1338"/>
      <c r="CZ6" s="1338"/>
      <c r="DA6" s="1338"/>
      <c r="DB6" s="1338"/>
      <c r="DC6" s="1338"/>
      <c r="DD6" s="1338"/>
      <c r="DE6" s="1338"/>
      <c r="DF6" s="1338"/>
      <c r="DG6" s="242"/>
      <c r="DH6" s="243"/>
      <c r="DI6" s="1338"/>
      <c r="DJ6" s="1338"/>
      <c r="DK6" s="1338"/>
      <c r="DL6" s="1338"/>
      <c r="DM6" s="1338"/>
      <c r="DN6" s="1338"/>
      <c r="DO6" s="1338"/>
      <c r="DP6" s="1338"/>
      <c r="DQ6" s="1338"/>
      <c r="DR6" s="1338"/>
      <c r="DS6" s="1338"/>
      <c r="DT6" s="1338"/>
      <c r="DU6" s="1338"/>
      <c r="DV6" s="1338"/>
      <c r="DW6" s="1338"/>
      <c r="DX6" s="1338"/>
      <c r="DY6" s="1338"/>
      <c r="DZ6" s="1338"/>
      <c r="EA6" s="1338"/>
      <c r="EB6" s="1338"/>
      <c r="EC6" s="1338"/>
      <c r="ED6" s="1338"/>
      <c r="EE6" s="242"/>
      <c r="EF6" s="243"/>
      <c r="EG6" s="1338"/>
      <c r="EH6" s="1338"/>
      <c r="EI6" s="1338"/>
      <c r="EJ6" s="1338"/>
      <c r="EK6" s="1338"/>
      <c r="EL6" s="1338"/>
      <c r="EM6" s="1338"/>
      <c r="EN6" s="1338"/>
      <c r="EO6" s="1338"/>
      <c r="EP6" s="1338"/>
      <c r="EQ6" s="1338"/>
      <c r="ER6" s="1338"/>
      <c r="ES6" s="1338"/>
      <c r="ET6" s="1338"/>
      <c r="EU6" s="1338"/>
      <c r="EV6" s="1338"/>
      <c r="EW6" s="1338"/>
      <c r="EX6" s="1338"/>
      <c r="EY6" s="1338"/>
      <c r="EZ6" s="1338"/>
      <c r="FA6" s="1338"/>
      <c r="FB6" s="1338"/>
      <c r="FC6" s="242"/>
      <c r="FD6" s="243"/>
      <c r="FE6" s="1338"/>
      <c r="FF6" s="1338"/>
      <c r="FG6" s="1338"/>
      <c r="FH6" s="1338"/>
      <c r="FI6" s="1338"/>
      <c r="FJ6" s="1338"/>
      <c r="FK6" s="1338"/>
      <c r="FL6" s="1338"/>
      <c r="FM6" s="1338"/>
      <c r="FN6" s="1338"/>
      <c r="FO6" s="1338"/>
      <c r="FP6" s="1338"/>
      <c r="FQ6" s="1338"/>
      <c r="FR6" s="1338"/>
      <c r="FS6" s="1338"/>
      <c r="FT6" s="1338"/>
      <c r="FU6" s="1338"/>
      <c r="FV6" s="1338"/>
      <c r="FW6" s="1338"/>
      <c r="FX6" s="1338"/>
      <c r="FY6" s="1338"/>
      <c r="FZ6" s="1338"/>
      <c r="GA6" s="242"/>
      <c r="GB6" s="243"/>
      <c r="GC6" s="1338"/>
      <c r="GD6" s="1338"/>
      <c r="GE6" s="1338"/>
      <c r="GF6" s="1338"/>
      <c r="GG6" s="1338"/>
      <c r="GH6" s="1338"/>
      <c r="GI6" s="1338"/>
      <c r="GJ6" s="1338"/>
      <c r="GK6" s="1338"/>
      <c r="GL6" s="1338"/>
      <c r="GM6" s="1338"/>
      <c r="GN6" s="1338"/>
      <c r="GO6" s="1338"/>
      <c r="GP6" s="1338"/>
      <c r="GQ6" s="1338"/>
      <c r="GR6" s="1338"/>
      <c r="GS6" s="1338"/>
      <c r="GT6" s="1338"/>
      <c r="GU6" s="1338"/>
      <c r="GV6" s="1338"/>
      <c r="GW6" s="1338"/>
      <c r="GX6" s="1338"/>
      <c r="GY6" s="242"/>
      <c r="GZ6" s="243"/>
      <c r="HA6" s="1338"/>
      <c r="HB6" s="1338"/>
      <c r="HC6" s="1338"/>
      <c r="HD6" s="1338"/>
      <c r="HE6" s="1338"/>
      <c r="HF6" s="1338"/>
      <c r="HG6" s="1338"/>
      <c r="HH6" s="1338"/>
      <c r="HI6" s="1338"/>
      <c r="HJ6" s="1338"/>
      <c r="HK6" s="1338"/>
      <c r="HL6" s="1338"/>
      <c r="HM6" s="1338"/>
      <c r="HN6" s="1338"/>
      <c r="HO6" s="1338"/>
      <c r="HP6" s="1338"/>
      <c r="HQ6" s="1338"/>
      <c r="HR6" s="1338"/>
      <c r="HS6" s="1338"/>
      <c r="HT6" s="1338"/>
      <c r="HU6" s="1338"/>
      <c r="HV6" s="1338"/>
      <c r="HW6" s="242"/>
      <c r="HX6" s="243"/>
      <c r="HY6" s="1338"/>
      <c r="HZ6" s="1338"/>
      <c r="IA6" s="1338"/>
      <c r="IB6" s="1338"/>
      <c r="IC6" s="1338"/>
      <c r="ID6" s="1338"/>
      <c r="IE6" s="1338"/>
      <c r="IF6" s="1338"/>
      <c r="IG6" s="1338"/>
      <c r="IH6" s="1338"/>
      <c r="II6" s="1338"/>
      <c r="IJ6" s="1338"/>
      <c r="IK6" s="1338"/>
      <c r="IL6" s="1338"/>
    </row>
    <row r="7" spans="1:246" s="244" customFormat="1" ht="30.75" customHeight="1" thickBot="1">
      <c r="A7" s="245" t="s">
        <v>246</v>
      </c>
      <c r="B7" s="918" t="s">
        <v>1206</v>
      </c>
      <c r="C7" s="247"/>
      <c r="D7" s="247"/>
      <c r="E7" s="248"/>
      <c r="F7" s="247"/>
      <c r="G7" s="248"/>
      <c r="H7" s="247"/>
      <c r="I7" s="248"/>
      <c r="J7" s="247"/>
      <c r="K7" s="248"/>
      <c r="L7" s="247"/>
      <c r="M7" s="249"/>
      <c r="N7" s="248"/>
      <c r="O7" s="250"/>
      <c r="P7" s="247"/>
      <c r="Q7" s="249"/>
      <c r="R7" s="248"/>
      <c r="S7" s="250"/>
      <c r="T7" s="247"/>
      <c r="U7" s="248"/>
      <c r="V7" s="239" t="s">
        <v>325</v>
      </c>
      <c r="W7" s="239"/>
      <c r="X7" s="239"/>
      <c r="Y7" s="239"/>
      <c r="Z7" s="239"/>
      <c r="AA7" s="240"/>
      <c r="AB7" s="240"/>
      <c r="AC7" s="240"/>
      <c r="AD7" s="240"/>
      <c r="AE7" s="240"/>
      <c r="AF7" s="240"/>
      <c r="AG7" s="251"/>
      <c r="AH7" s="251"/>
      <c r="AI7" s="251"/>
      <c r="AJ7" s="251"/>
      <c r="AK7" s="251"/>
      <c r="AL7" s="251"/>
      <c r="AM7" s="242"/>
      <c r="AN7" s="243"/>
      <c r="AO7" s="251"/>
      <c r="AP7" s="251"/>
      <c r="AQ7" s="251"/>
      <c r="AR7" s="251"/>
      <c r="AS7" s="251"/>
      <c r="AT7" s="251"/>
      <c r="AU7" s="251"/>
      <c r="AV7" s="251"/>
      <c r="AW7" s="251"/>
      <c r="AX7" s="251"/>
      <c r="AY7" s="251"/>
      <c r="AZ7" s="251"/>
      <c r="BA7" s="251"/>
      <c r="BB7" s="251"/>
      <c r="BC7" s="251"/>
      <c r="BD7" s="251"/>
      <c r="BE7" s="251"/>
      <c r="BF7" s="251"/>
      <c r="BG7" s="251"/>
      <c r="BH7" s="251"/>
      <c r="BI7" s="251"/>
      <c r="BJ7" s="251"/>
      <c r="BK7" s="242"/>
      <c r="BL7" s="243"/>
      <c r="BM7" s="251"/>
      <c r="BN7" s="251"/>
      <c r="BO7" s="251"/>
      <c r="BP7" s="251"/>
      <c r="BQ7" s="251"/>
      <c r="BR7" s="251"/>
      <c r="BS7" s="251"/>
      <c r="BT7" s="251"/>
      <c r="BU7" s="251"/>
      <c r="BV7" s="251"/>
      <c r="BW7" s="251"/>
      <c r="BX7" s="251"/>
      <c r="BY7" s="251"/>
      <c r="BZ7" s="251"/>
      <c r="CA7" s="251"/>
      <c r="CB7" s="251"/>
      <c r="CC7" s="251"/>
      <c r="CD7" s="251"/>
      <c r="CE7" s="251"/>
      <c r="CF7" s="251"/>
      <c r="CG7" s="251"/>
      <c r="CH7" s="251"/>
      <c r="CI7" s="242"/>
      <c r="CJ7" s="243"/>
      <c r="CK7" s="251"/>
      <c r="CL7" s="251"/>
      <c r="CM7" s="251"/>
      <c r="CN7" s="251"/>
      <c r="CO7" s="251"/>
      <c r="CP7" s="251"/>
      <c r="CQ7" s="251"/>
      <c r="CR7" s="251"/>
      <c r="CS7" s="251"/>
      <c r="CT7" s="251"/>
      <c r="CU7" s="251"/>
      <c r="CV7" s="251"/>
      <c r="CW7" s="251"/>
      <c r="CX7" s="251"/>
      <c r="CY7" s="251"/>
      <c r="CZ7" s="251"/>
      <c r="DA7" s="251"/>
      <c r="DB7" s="251"/>
      <c r="DC7" s="251"/>
      <c r="DD7" s="251"/>
      <c r="DE7" s="251"/>
      <c r="DF7" s="251"/>
      <c r="DG7" s="242"/>
      <c r="DH7" s="243"/>
      <c r="DI7" s="251"/>
      <c r="DJ7" s="251"/>
      <c r="DK7" s="251"/>
      <c r="DL7" s="251"/>
      <c r="DM7" s="251"/>
      <c r="DN7" s="251"/>
      <c r="DO7" s="251"/>
      <c r="DP7" s="251"/>
      <c r="DQ7" s="251"/>
      <c r="DR7" s="251"/>
      <c r="DS7" s="251"/>
      <c r="DT7" s="251"/>
      <c r="DU7" s="251"/>
      <c r="DV7" s="251"/>
      <c r="DW7" s="251"/>
      <c r="DX7" s="251"/>
      <c r="DY7" s="251"/>
      <c r="DZ7" s="251"/>
      <c r="EA7" s="251"/>
      <c r="EB7" s="251"/>
      <c r="EC7" s="251"/>
      <c r="ED7" s="251"/>
      <c r="EE7" s="242"/>
      <c r="EF7" s="243"/>
      <c r="EG7" s="251"/>
      <c r="EH7" s="251"/>
      <c r="EI7" s="251"/>
      <c r="EJ7" s="251"/>
      <c r="EK7" s="251"/>
      <c r="EL7" s="251"/>
      <c r="EM7" s="251"/>
      <c r="EN7" s="251"/>
      <c r="EO7" s="251"/>
      <c r="EP7" s="251"/>
      <c r="EQ7" s="251"/>
      <c r="ER7" s="251"/>
      <c r="ES7" s="251"/>
      <c r="ET7" s="251"/>
      <c r="EU7" s="251"/>
      <c r="EV7" s="251"/>
      <c r="EW7" s="251"/>
      <c r="EX7" s="251"/>
      <c r="EY7" s="251"/>
      <c r="EZ7" s="251"/>
      <c r="FA7" s="251"/>
      <c r="FB7" s="251"/>
      <c r="FC7" s="242"/>
      <c r="FD7" s="243"/>
      <c r="FE7" s="251"/>
      <c r="FF7" s="251"/>
      <c r="FG7" s="251"/>
      <c r="FH7" s="251"/>
      <c r="FI7" s="251"/>
      <c r="FJ7" s="251"/>
      <c r="FK7" s="251"/>
      <c r="FL7" s="251"/>
      <c r="FM7" s="251"/>
      <c r="FN7" s="251"/>
      <c r="FO7" s="251"/>
      <c r="FP7" s="251"/>
      <c r="FQ7" s="251"/>
      <c r="FR7" s="251"/>
      <c r="FS7" s="251"/>
      <c r="FT7" s="251"/>
      <c r="FU7" s="251"/>
      <c r="FV7" s="251"/>
      <c r="FW7" s="251"/>
      <c r="FX7" s="251"/>
      <c r="FY7" s="251"/>
      <c r="FZ7" s="251"/>
      <c r="GA7" s="242"/>
      <c r="GB7" s="243"/>
      <c r="GC7" s="251"/>
      <c r="GD7" s="251"/>
      <c r="GE7" s="251"/>
      <c r="GF7" s="251"/>
      <c r="GG7" s="251"/>
      <c r="GH7" s="251"/>
      <c r="GI7" s="251"/>
      <c r="GJ7" s="251"/>
      <c r="GK7" s="251"/>
      <c r="GL7" s="251"/>
      <c r="GM7" s="251"/>
      <c r="GN7" s="251"/>
      <c r="GO7" s="251"/>
      <c r="GP7" s="251"/>
      <c r="GQ7" s="251"/>
      <c r="GR7" s="251"/>
      <c r="GS7" s="251"/>
      <c r="GT7" s="251"/>
      <c r="GU7" s="251"/>
      <c r="GV7" s="251"/>
      <c r="GW7" s="251"/>
      <c r="GX7" s="251"/>
      <c r="GY7" s="242"/>
      <c r="GZ7" s="243"/>
      <c r="HA7" s="251"/>
      <c r="HB7" s="251"/>
      <c r="HC7" s="251"/>
      <c r="HD7" s="251"/>
      <c r="HE7" s="251"/>
      <c r="HF7" s="251"/>
      <c r="HG7" s="251"/>
      <c r="HH7" s="251"/>
      <c r="HI7" s="251"/>
      <c r="HJ7" s="251"/>
      <c r="HK7" s="251"/>
      <c r="HL7" s="251"/>
      <c r="HM7" s="251"/>
      <c r="HN7" s="251"/>
      <c r="HO7" s="251"/>
      <c r="HP7" s="251"/>
      <c r="HQ7" s="251"/>
      <c r="HR7" s="251"/>
      <c r="HS7" s="251"/>
      <c r="HT7" s="251"/>
      <c r="HU7" s="251"/>
      <c r="HV7" s="251"/>
      <c r="HW7" s="242"/>
      <c r="HX7" s="243"/>
      <c r="HY7" s="251"/>
      <c r="HZ7" s="251"/>
      <c r="IA7" s="251"/>
      <c r="IB7" s="251"/>
      <c r="IC7" s="251"/>
      <c r="ID7" s="251"/>
      <c r="IE7" s="251"/>
      <c r="IF7" s="251"/>
      <c r="IG7" s="251"/>
      <c r="IH7" s="251"/>
      <c r="II7" s="251"/>
      <c r="IJ7" s="251"/>
      <c r="IK7" s="251"/>
      <c r="IL7" s="251"/>
    </row>
    <row r="8" spans="1:32" s="256" customFormat="1" ht="33.75" customHeight="1">
      <c r="A8" s="1227"/>
      <c r="B8" s="958" t="s">
        <v>1209</v>
      </c>
      <c r="C8" s="452">
        <v>1</v>
      </c>
      <c r="D8" s="452"/>
      <c r="E8" s="427"/>
      <c r="F8" s="452"/>
      <c r="G8" s="427"/>
      <c r="H8" s="452"/>
      <c r="I8" s="427"/>
      <c r="J8" s="452">
        <v>1</v>
      </c>
      <c r="K8" s="427"/>
      <c r="L8" s="1335"/>
      <c r="M8" s="1336"/>
      <c r="N8" s="1337"/>
      <c r="O8" s="1336"/>
      <c r="P8" s="1335"/>
      <c r="Q8" s="1336"/>
      <c r="R8" s="1337"/>
      <c r="S8" s="1336"/>
      <c r="T8" s="452"/>
      <c r="U8" s="427"/>
      <c r="V8" s="254"/>
      <c r="W8" s="254"/>
      <c r="X8" s="254"/>
      <c r="Y8" s="254"/>
      <c r="Z8" s="254"/>
      <c r="AA8" s="255"/>
      <c r="AB8" s="255"/>
      <c r="AC8" s="255"/>
      <c r="AD8" s="255"/>
      <c r="AE8" s="255"/>
      <c r="AF8" s="255"/>
    </row>
    <row r="9" spans="1:246" s="244" customFormat="1" ht="30.75" customHeight="1" thickBot="1">
      <c r="A9" s="1117" t="s">
        <v>247</v>
      </c>
      <c r="B9" s="246" t="s">
        <v>356</v>
      </c>
      <c r="C9" s="247"/>
      <c r="D9" s="247"/>
      <c r="E9" s="248"/>
      <c r="F9" s="247"/>
      <c r="G9" s="248"/>
      <c r="H9" s="247"/>
      <c r="I9" s="248"/>
      <c r="J9" s="247"/>
      <c r="K9" s="248"/>
      <c r="L9" s="247"/>
      <c r="M9" s="249"/>
      <c r="N9" s="248"/>
      <c r="O9" s="250"/>
      <c r="P9" s="247"/>
      <c r="Q9" s="249"/>
      <c r="R9" s="248"/>
      <c r="S9" s="250"/>
      <c r="T9" s="247"/>
      <c r="U9" s="248"/>
      <c r="V9" s="239" t="s">
        <v>325</v>
      </c>
      <c r="W9" s="239"/>
      <c r="X9" s="239"/>
      <c r="Y9" s="239"/>
      <c r="Z9" s="239"/>
      <c r="AA9" s="240"/>
      <c r="AB9" s="240"/>
      <c r="AC9" s="240"/>
      <c r="AD9" s="240"/>
      <c r="AE9" s="240"/>
      <c r="AF9" s="240"/>
      <c r="AG9" s="251"/>
      <c r="AH9" s="251"/>
      <c r="AI9" s="251"/>
      <c r="AJ9" s="251"/>
      <c r="AK9" s="251"/>
      <c r="AL9" s="251"/>
      <c r="AM9" s="242"/>
      <c r="AN9" s="243"/>
      <c r="AO9" s="251"/>
      <c r="AP9" s="251"/>
      <c r="AQ9" s="251"/>
      <c r="AR9" s="251"/>
      <c r="AS9" s="251"/>
      <c r="AT9" s="251"/>
      <c r="AU9" s="251"/>
      <c r="AV9" s="251"/>
      <c r="AW9" s="251"/>
      <c r="AX9" s="251"/>
      <c r="AY9" s="251"/>
      <c r="AZ9" s="251"/>
      <c r="BA9" s="251"/>
      <c r="BB9" s="251"/>
      <c r="BC9" s="251"/>
      <c r="BD9" s="251"/>
      <c r="BE9" s="251"/>
      <c r="BF9" s="251"/>
      <c r="BG9" s="251"/>
      <c r="BH9" s="251"/>
      <c r="BI9" s="251"/>
      <c r="BJ9" s="251"/>
      <c r="BK9" s="242"/>
      <c r="BL9" s="243"/>
      <c r="BM9" s="251"/>
      <c r="BN9" s="251"/>
      <c r="BO9" s="251"/>
      <c r="BP9" s="251"/>
      <c r="BQ9" s="251"/>
      <c r="BR9" s="251"/>
      <c r="BS9" s="251"/>
      <c r="BT9" s="251"/>
      <c r="BU9" s="251"/>
      <c r="BV9" s="251"/>
      <c r="BW9" s="251"/>
      <c r="BX9" s="251"/>
      <c r="BY9" s="251"/>
      <c r="BZ9" s="251"/>
      <c r="CA9" s="251"/>
      <c r="CB9" s="251"/>
      <c r="CC9" s="251"/>
      <c r="CD9" s="251"/>
      <c r="CE9" s="251"/>
      <c r="CF9" s="251"/>
      <c r="CG9" s="251"/>
      <c r="CH9" s="251"/>
      <c r="CI9" s="242"/>
      <c r="CJ9" s="243"/>
      <c r="CK9" s="251"/>
      <c r="CL9" s="251"/>
      <c r="CM9" s="251"/>
      <c r="CN9" s="251"/>
      <c r="CO9" s="251"/>
      <c r="CP9" s="251"/>
      <c r="CQ9" s="251"/>
      <c r="CR9" s="251"/>
      <c r="CS9" s="251"/>
      <c r="CT9" s="251"/>
      <c r="CU9" s="251"/>
      <c r="CV9" s="251"/>
      <c r="CW9" s="251"/>
      <c r="CX9" s="251"/>
      <c r="CY9" s="251"/>
      <c r="CZ9" s="251"/>
      <c r="DA9" s="251"/>
      <c r="DB9" s="251"/>
      <c r="DC9" s="251"/>
      <c r="DD9" s="251"/>
      <c r="DE9" s="251"/>
      <c r="DF9" s="251"/>
      <c r="DG9" s="242"/>
      <c r="DH9" s="243"/>
      <c r="DI9" s="251"/>
      <c r="DJ9" s="251"/>
      <c r="DK9" s="251"/>
      <c r="DL9" s="251"/>
      <c r="DM9" s="251"/>
      <c r="DN9" s="251"/>
      <c r="DO9" s="251"/>
      <c r="DP9" s="251"/>
      <c r="DQ9" s="251"/>
      <c r="DR9" s="251"/>
      <c r="DS9" s="251"/>
      <c r="DT9" s="251"/>
      <c r="DU9" s="251"/>
      <c r="DV9" s="251"/>
      <c r="DW9" s="251"/>
      <c r="DX9" s="251"/>
      <c r="DY9" s="251"/>
      <c r="DZ9" s="251"/>
      <c r="EA9" s="251"/>
      <c r="EB9" s="251"/>
      <c r="EC9" s="251"/>
      <c r="ED9" s="251"/>
      <c r="EE9" s="242"/>
      <c r="EF9" s="243"/>
      <c r="EG9" s="251"/>
      <c r="EH9" s="251"/>
      <c r="EI9" s="251"/>
      <c r="EJ9" s="251"/>
      <c r="EK9" s="251"/>
      <c r="EL9" s="251"/>
      <c r="EM9" s="251"/>
      <c r="EN9" s="251"/>
      <c r="EO9" s="251"/>
      <c r="EP9" s="251"/>
      <c r="EQ9" s="251"/>
      <c r="ER9" s="251"/>
      <c r="ES9" s="251"/>
      <c r="ET9" s="251"/>
      <c r="EU9" s="251"/>
      <c r="EV9" s="251"/>
      <c r="EW9" s="251"/>
      <c r="EX9" s="251"/>
      <c r="EY9" s="251"/>
      <c r="EZ9" s="251"/>
      <c r="FA9" s="251"/>
      <c r="FB9" s="251"/>
      <c r="FC9" s="242"/>
      <c r="FD9" s="243"/>
      <c r="FE9" s="251"/>
      <c r="FF9" s="251"/>
      <c r="FG9" s="251"/>
      <c r="FH9" s="251"/>
      <c r="FI9" s="251"/>
      <c r="FJ9" s="251"/>
      <c r="FK9" s="251"/>
      <c r="FL9" s="251"/>
      <c r="FM9" s="251"/>
      <c r="FN9" s="251"/>
      <c r="FO9" s="251"/>
      <c r="FP9" s="251"/>
      <c r="FQ9" s="251"/>
      <c r="FR9" s="251"/>
      <c r="FS9" s="251"/>
      <c r="FT9" s="251"/>
      <c r="FU9" s="251"/>
      <c r="FV9" s="251"/>
      <c r="FW9" s="251"/>
      <c r="FX9" s="251"/>
      <c r="FY9" s="251"/>
      <c r="FZ9" s="251"/>
      <c r="GA9" s="242"/>
      <c r="GB9" s="243"/>
      <c r="GC9" s="251"/>
      <c r="GD9" s="251"/>
      <c r="GE9" s="251"/>
      <c r="GF9" s="251"/>
      <c r="GG9" s="251"/>
      <c r="GH9" s="251"/>
      <c r="GI9" s="251"/>
      <c r="GJ9" s="251"/>
      <c r="GK9" s="251"/>
      <c r="GL9" s="251"/>
      <c r="GM9" s="251"/>
      <c r="GN9" s="251"/>
      <c r="GO9" s="251"/>
      <c r="GP9" s="251"/>
      <c r="GQ9" s="251"/>
      <c r="GR9" s="251"/>
      <c r="GS9" s="251"/>
      <c r="GT9" s="251"/>
      <c r="GU9" s="251"/>
      <c r="GV9" s="251"/>
      <c r="GW9" s="251"/>
      <c r="GX9" s="251"/>
      <c r="GY9" s="242"/>
      <c r="GZ9" s="243"/>
      <c r="HA9" s="251"/>
      <c r="HB9" s="251"/>
      <c r="HC9" s="251"/>
      <c r="HD9" s="251"/>
      <c r="HE9" s="251"/>
      <c r="HF9" s="251"/>
      <c r="HG9" s="251"/>
      <c r="HH9" s="251"/>
      <c r="HI9" s="251"/>
      <c r="HJ9" s="251"/>
      <c r="HK9" s="251"/>
      <c r="HL9" s="251"/>
      <c r="HM9" s="251"/>
      <c r="HN9" s="251"/>
      <c r="HO9" s="251"/>
      <c r="HP9" s="251"/>
      <c r="HQ9" s="251"/>
      <c r="HR9" s="251"/>
      <c r="HS9" s="251"/>
      <c r="HT9" s="251"/>
      <c r="HU9" s="251"/>
      <c r="HV9" s="251"/>
      <c r="HW9" s="242"/>
      <c r="HX9" s="243"/>
      <c r="HY9" s="251"/>
      <c r="HZ9" s="251"/>
      <c r="IA9" s="251"/>
      <c r="IB9" s="251"/>
      <c r="IC9" s="251"/>
      <c r="ID9" s="251"/>
      <c r="IE9" s="251"/>
      <c r="IF9" s="251"/>
      <c r="IG9" s="251"/>
      <c r="IH9" s="251"/>
      <c r="II9" s="251"/>
      <c r="IJ9" s="251"/>
      <c r="IK9" s="251"/>
      <c r="IL9" s="251"/>
    </row>
    <row r="10" spans="1:32" s="256" customFormat="1" ht="41.25" customHeight="1">
      <c r="A10" s="1227"/>
      <c r="B10" s="376" t="s">
        <v>326</v>
      </c>
      <c r="C10" s="452">
        <v>8</v>
      </c>
      <c r="D10" s="452">
        <v>2</v>
      </c>
      <c r="E10" s="427">
        <v>6</v>
      </c>
      <c r="F10" s="452">
        <v>2</v>
      </c>
      <c r="G10" s="1125">
        <v>4</v>
      </c>
      <c r="H10" s="452">
        <v>2</v>
      </c>
      <c r="I10" s="427"/>
      <c r="J10" s="452">
        <v>2</v>
      </c>
      <c r="K10" s="427"/>
      <c r="L10" s="1335"/>
      <c r="M10" s="1336"/>
      <c r="N10" s="1337"/>
      <c r="O10" s="1336"/>
      <c r="P10" s="1335"/>
      <c r="Q10" s="1336"/>
      <c r="R10" s="1337"/>
      <c r="S10" s="1336"/>
      <c r="T10" s="452"/>
      <c r="U10" s="427"/>
      <c r="V10" s="254"/>
      <c r="W10" s="254"/>
      <c r="X10" s="254"/>
      <c r="Y10" s="254"/>
      <c r="Z10" s="254"/>
      <c r="AA10" s="255"/>
      <c r="AB10" s="255"/>
      <c r="AC10" s="255"/>
      <c r="AD10" s="255"/>
      <c r="AE10" s="255"/>
      <c r="AF10" s="1152" t="s">
        <v>1332</v>
      </c>
    </row>
    <row r="11" spans="1:32" s="256" customFormat="1" ht="21.75" customHeight="1">
      <c r="A11" s="1228"/>
      <c r="B11" s="253" t="s">
        <v>327</v>
      </c>
      <c r="C11" s="428">
        <v>2</v>
      </c>
      <c r="D11" s="428">
        <v>1</v>
      </c>
      <c r="E11" s="430">
        <v>1</v>
      </c>
      <c r="F11" s="428">
        <v>0</v>
      </c>
      <c r="G11" s="430">
        <v>0</v>
      </c>
      <c r="H11" s="428">
        <v>1</v>
      </c>
      <c r="I11" s="430"/>
      <c r="J11" s="428">
        <v>0</v>
      </c>
      <c r="K11" s="430"/>
      <c r="L11" s="1354"/>
      <c r="M11" s="1355"/>
      <c r="N11" s="1356"/>
      <c r="O11" s="1355"/>
      <c r="P11" s="1354"/>
      <c r="Q11" s="1355"/>
      <c r="R11" s="1356"/>
      <c r="S11" s="1355"/>
      <c r="T11" s="428"/>
      <c r="U11" s="430"/>
      <c r="V11" s="254"/>
      <c r="W11" s="254"/>
      <c r="X11" s="254"/>
      <c r="Y11" s="254"/>
      <c r="Z11" s="254"/>
      <c r="AA11" s="255"/>
      <c r="AB11" s="255"/>
      <c r="AC11" s="255"/>
      <c r="AD11" s="255"/>
      <c r="AE11" s="255"/>
      <c r="AF11" s="255"/>
    </row>
    <row r="12" spans="1:32" s="244" customFormat="1" ht="25.5" customHeight="1" thickBot="1">
      <c r="A12" s="237">
        <v>2</v>
      </c>
      <c r="B12" s="238" t="s">
        <v>193</v>
      </c>
      <c r="C12" s="451"/>
      <c r="D12" s="451"/>
      <c r="E12" s="248"/>
      <c r="F12" s="451"/>
      <c r="G12" s="248"/>
      <c r="H12" s="451"/>
      <c r="I12" s="248"/>
      <c r="J12" s="451"/>
      <c r="K12" s="248"/>
      <c r="L12" s="1339"/>
      <c r="M12" s="1340"/>
      <c r="N12" s="1339"/>
      <c r="O12" s="1340"/>
      <c r="P12" s="1339"/>
      <c r="Q12" s="1340"/>
      <c r="R12" s="1339"/>
      <c r="S12" s="1340"/>
      <c r="T12" s="451"/>
      <c r="U12" s="451"/>
      <c r="V12" s="240"/>
      <c r="W12" s="240"/>
      <c r="X12" s="240"/>
      <c r="Y12" s="240"/>
      <c r="Z12" s="240"/>
      <c r="AA12" s="255"/>
      <c r="AB12" s="255"/>
      <c r="AC12" s="255"/>
      <c r="AD12" s="255"/>
      <c r="AE12" s="255"/>
      <c r="AF12" s="255"/>
    </row>
    <row r="13" spans="1:32" s="244" customFormat="1" ht="45" customHeight="1" thickBot="1">
      <c r="A13" s="964" t="s">
        <v>1216</v>
      </c>
      <c r="B13" s="524" t="s">
        <v>357</v>
      </c>
      <c r="C13" s="247"/>
      <c r="D13" s="247"/>
      <c r="E13" s="248"/>
      <c r="F13" s="247"/>
      <c r="G13" s="248"/>
      <c r="H13" s="247"/>
      <c r="I13" s="248"/>
      <c r="J13" s="247"/>
      <c r="K13" s="248"/>
      <c r="L13" s="247"/>
      <c r="M13" s="249"/>
      <c r="N13" s="248"/>
      <c r="O13" s="250"/>
      <c r="P13" s="247"/>
      <c r="Q13" s="249"/>
      <c r="R13" s="248"/>
      <c r="S13" s="250"/>
      <c r="T13" s="247"/>
      <c r="U13" s="248"/>
      <c r="V13" s="239"/>
      <c r="W13" s="239"/>
      <c r="X13" s="239" t="s">
        <v>325</v>
      </c>
      <c r="Y13" s="239" t="s">
        <v>325</v>
      </c>
      <c r="Z13" s="239"/>
      <c r="AA13" s="255"/>
      <c r="AB13" s="255"/>
      <c r="AC13" s="255"/>
      <c r="AD13" s="255"/>
      <c r="AE13" s="255"/>
      <c r="AF13" s="255"/>
    </row>
    <row r="14" spans="1:32" s="259" customFormat="1" ht="48.75" customHeight="1">
      <c r="A14" s="957"/>
      <c r="B14" s="958" t="s">
        <v>1217</v>
      </c>
      <c r="C14" s="1118">
        <v>5</v>
      </c>
      <c r="D14" s="917">
        <v>1</v>
      </c>
      <c r="E14" s="959">
        <v>0</v>
      </c>
      <c r="F14" s="917">
        <v>1</v>
      </c>
      <c r="G14" s="959">
        <v>0</v>
      </c>
      <c r="H14" s="917">
        <v>0</v>
      </c>
      <c r="I14" s="959"/>
      <c r="J14" s="1118">
        <v>3</v>
      </c>
      <c r="K14" s="432"/>
      <c r="L14" s="1357"/>
      <c r="M14" s="1358"/>
      <c r="N14" s="1359"/>
      <c r="O14" s="1358"/>
      <c r="P14" s="1357"/>
      <c r="Q14" s="1358"/>
      <c r="R14" s="1359"/>
      <c r="S14" s="1358"/>
      <c r="T14" s="431"/>
      <c r="U14" s="432"/>
      <c r="V14" s="257"/>
      <c r="W14" s="257"/>
      <c r="X14" s="257"/>
      <c r="Y14" s="257"/>
      <c r="Z14" s="257"/>
      <c r="AA14" s="258"/>
      <c r="AB14" s="258"/>
      <c r="AC14" s="258"/>
      <c r="AD14" s="258"/>
      <c r="AE14" s="258"/>
      <c r="AF14" s="1152" t="s">
        <v>1334</v>
      </c>
    </row>
    <row r="15" spans="1:32" s="244" customFormat="1" ht="81" customHeight="1" thickBot="1">
      <c r="A15" s="965" t="s">
        <v>1220</v>
      </c>
      <c r="B15" s="960" t="s">
        <v>358</v>
      </c>
      <c r="C15" s="247"/>
      <c r="D15" s="247"/>
      <c r="E15" s="248"/>
      <c r="F15" s="247"/>
      <c r="G15" s="248"/>
      <c r="H15" s="247"/>
      <c r="I15" s="248"/>
      <c r="J15" s="247"/>
      <c r="K15" s="248"/>
      <c r="L15" s="247"/>
      <c r="M15" s="249"/>
      <c r="N15" s="248"/>
      <c r="O15" s="250"/>
      <c r="P15" s="247"/>
      <c r="Q15" s="249"/>
      <c r="R15" s="248"/>
      <c r="S15" s="250"/>
      <c r="T15" s="247"/>
      <c r="U15" s="248"/>
      <c r="V15" s="239"/>
      <c r="W15" s="239"/>
      <c r="X15" s="239" t="s">
        <v>325</v>
      </c>
      <c r="Y15" s="239" t="s">
        <v>325</v>
      </c>
      <c r="Z15" s="239"/>
      <c r="AA15" s="255"/>
      <c r="AB15" s="255"/>
      <c r="AC15" s="255"/>
      <c r="AD15" s="255"/>
      <c r="AE15" s="255"/>
      <c r="AF15" s="255"/>
    </row>
    <row r="16" spans="1:32" s="256" customFormat="1" ht="57" customHeight="1">
      <c r="A16" s="1120"/>
      <c r="B16" s="961" t="s">
        <v>329</v>
      </c>
      <c r="C16" s="452">
        <v>19</v>
      </c>
      <c r="D16" s="452">
        <v>0</v>
      </c>
      <c r="E16" s="427"/>
      <c r="F16" s="452">
        <f>3+1+1</f>
        <v>5</v>
      </c>
      <c r="G16" s="427">
        <v>0</v>
      </c>
      <c r="H16" s="452">
        <v>5</v>
      </c>
      <c r="I16" s="427"/>
      <c r="J16" s="452">
        <f>4+2+3</f>
        <v>9</v>
      </c>
      <c r="K16" s="427"/>
      <c r="L16" s="1335"/>
      <c r="M16" s="1336"/>
      <c r="N16" s="1337"/>
      <c r="O16" s="1336"/>
      <c r="P16" s="1335"/>
      <c r="Q16" s="1336"/>
      <c r="R16" s="1337"/>
      <c r="S16" s="1336"/>
      <c r="T16" s="452"/>
      <c r="U16" s="427"/>
      <c r="V16" s="254"/>
      <c r="W16" s="254"/>
      <c r="X16" s="254"/>
      <c r="Y16" s="254"/>
      <c r="Z16" s="254"/>
      <c r="AA16" s="255"/>
      <c r="AB16" s="255"/>
      <c r="AC16" s="255"/>
      <c r="AD16" s="255"/>
      <c r="AE16" s="255"/>
      <c r="AF16" s="255"/>
    </row>
    <row r="17" spans="1:32" s="256" customFormat="1" ht="29.25" customHeight="1">
      <c r="A17" s="1319" t="s">
        <v>1430</v>
      </c>
      <c r="B17" s="1163" t="s">
        <v>359</v>
      </c>
      <c r="C17" s="1164"/>
      <c r="D17" s="1164"/>
      <c r="E17" s="1165"/>
      <c r="F17" s="1164"/>
      <c r="G17" s="1165"/>
      <c r="H17" s="1164"/>
      <c r="I17" s="1165"/>
      <c r="J17" s="1164"/>
      <c r="K17" s="1165"/>
      <c r="L17" s="1164"/>
      <c r="M17" s="1166"/>
      <c r="N17" s="1167"/>
      <c r="O17" s="1166"/>
      <c r="P17" s="1164"/>
      <c r="Q17" s="1166"/>
      <c r="R17" s="1167"/>
      <c r="S17" s="1166"/>
      <c r="T17" s="1164"/>
      <c r="U17" s="1165"/>
      <c r="V17" s="1168"/>
      <c r="W17" s="1168" t="s">
        <v>325</v>
      </c>
      <c r="X17" s="1168"/>
      <c r="Y17" s="1168"/>
      <c r="Z17" s="1168"/>
      <c r="AA17" s="1169"/>
      <c r="AB17" s="1169"/>
      <c r="AC17" s="1169"/>
      <c r="AD17" s="1169"/>
      <c r="AE17" s="1169"/>
      <c r="AF17" s="1169"/>
    </row>
    <row r="18" spans="1:32" s="256" customFormat="1" ht="47.25" customHeight="1">
      <c r="A18" s="1320"/>
      <c r="B18" s="1170" t="s">
        <v>1221</v>
      </c>
      <c r="C18" s="1171">
        <v>0.68</v>
      </c>
      <c r="D18" s="1172">
        <v>0</v>
      </c>
      <c r="E18" s="1172"/>
      <c r="F18" s="1172">
        <v>0</v>
      </c>
      <c r="G18" s="1172">
        <v>0</v>
      </c>
      <c r="H18" s="1171">
        <v>0.4</v>
      </c>
      <c r="I18" s="1172"/>
      <c r="J18" s="1171">
        <v>0.68</v>
      </c>
      <c r="K18" s="1172"/>
      <c r="L18" s="1361"/>
      <c r="M18" s="1362"/>
      <c r="N18" s="1361"/>
      <c r="O18" s="1362"/>
      <c r="P18" s="1361"/>
      <c r="Q18" s="1362"/>
      <c r="R18" s="1361"/>
      <c r="S18" s="1362"/>
      <c r="T18" s="1171"/>
      <c r="U18" s="1172"/>
      <c r="V18" s="1168"/>
      <c r="W18" s="1168"/>
      <c r="X18" s="1168"/>
      <c r="Y18" s="1168"/>
      <c r="Z18" s="1168"/>
      <c r="AA18" s="1169"/>
      <c r="AB18" s="1169"/>
      <c r="AC18" s="1169"/>
      <c r="AD18" s="1169"/>
      <c r="AE18" s="1169"/>
      <c r="AF18" s="1169"/>
    </row>
    <row r="19" spans="1:32" s="256" customFormat="1" ht="78.75" customHeight="1">
      <c r="A19" s="1224" t="s">
        <v>1351</v>
      </c>
      <c r="B19" s="962" t="s">
        <v>531</v>
      </c>
      <c r="C19" s="261"/>
      <c r="D19" s="261"/>
      <c r="E19" s="248"/>
      <c r="F19" s="261"/>
      <c r="G19" s="248"/>
      <c r="H19" s="261"/>
      <c r="I19" s="248"/>
      <c r="J19" s="261"/>
      <c r="K19" s="248"/>
      <c r="L19" s="261"/>
      <c r="M19" s="262"/>
      <c r="N19" s="263"/>
      <c r="O19" s="262"/>
      <c r="P19" s="261"/>
      <c r="Q19" s="262"/>
      <c r="R19" s="263"/>
      <c r="S19" s="262"/>
      <c r="T19" s="261"/>
      <c r="U19" s="248"/>
      <c r="V19" s="254"/>
      <c r="W19" s="254" t="s">
        <v>325</v>
      </c>
      <c r="X19" s="254" t="s">
        <v>325</v>
      </c>
      <c r="Y19" s="254"/>
      <c r="Z19" s="254"/>
      <c r="AA19" s="255"/>
      <c r="AB19" s="255"/>
      <c r="AC19" s="255"/>
      <c r="AD19" s="255"/>
      <c r="AE19" s="255"/>
      <c r="AF19" s="255"/>
    </row>
    <row r="20" spans="1:32" s="256" customFormat="1" ht="25.5">
      <c r="A20" s="1111"/>
      <c r="B20" s="963" t="s">
        <v>331</v>
      </c>
      <c r="C20" s="266">
        <v>4</v>
      </c>
      <c r="D20" s="428"/>
      <c r="E20" s="331"/>
      <c r="F20" s="428"/>
      <c r="G20" s="331"/>
      <c r="H20" s="266">
        <v>4</v>
      </c>
      <c r="I20" s="331"/>
      <c r="J20" s="264"/>
      <c r="K20" s="331"/>
      <c r="L20" s="1354"/>
      <c r="M20" s="1355"/>
      <c r="N20" s="1360"/>
      <c r="O20" s="1355"/>
      <c r="P20" s="1354"/>
      <c r="Q20" s="1355"/>
      <c r="R20" s="1360"/>
      <c r="S20" s="1355"/>
      <c r="T20" s="264"/>
      <c r="U20" s="331"/>
      <c r="V20" s="254"/>
      <c r="W20" s="254"/>
      <c r="X20" s="254"/>
      <c r="Y20" s="254"/>
      <c r="Z20" s="254"/>
      <c r="AA20" s="255"/>
      <c r="AB20" s="255"/>
      <c r="AC20" s="255"/>
      <c r="AD20" s="255"/>
      <c r="AE20" s="255"/>
      <c r="AF20" s="255"/>
    </row>
    <row r="21" spans="1:246" s="244" customFormat="1" ht="55.5" customHeight="1" thickBot="1">
      <c r="A21" s="1223" t="s">
        <v>251</v>
      </c>
      <c r="B21" s="238" t="s">
        <v>374</v>
      </c>
      <c r="C21" s="451"/>
      <c r="D21" s="451"/>
      <c r="E21" s="384"/>
      <c r="F21" s="451"/>
      <c r="G21" s="384"/>
      <c r="H21" s="451"/>
      <c r="I21" s="384"/>
      <c r="J21" s="451"/>
      <c r="K21" s="384"/>
      <c r="L21" s="1339"/>
      <c r="M21" s="1340"/>
      <c r="N21" s="1341"/>
      <c r="O21" s="1342"/>
      <c r="P21" s="1339"/>
      <c r="Q21" s="1340"/>
      <c r="R21" s="1341"/>
      <c r="S21" s="1342"/>
      <c r="T21" s="451"/>
      <c r="U21" s="384"/>
      <c r="V21" s="239"/>
      <c r="W21" s="239"/>
      <c r="X21" s="239"/>
      <c r="Y21" s="239"/>
      <c r="Z21" s="239" t="s">
        <v>325</v>
      </c>
      <c r="AA21" s="240"/>
      <c r="AB21" s="240"/>
      <c r="AC21" s="240"/>
      <c r="AD21" s="240"/>
      <c r="AE21" s="240"/>
      <c r="AF21" s="240"/>
      <c r="AG21" s="1338"/>
      <c r="AH21" s="1338"/>
      <c r="AI21" s="1338"/>
      <c r="AJ21" s="1338"/>
      <c r="AK21" s="1338"/>
      <c r="AL21" s="1338"/>
      <c r="AM21" s="242"/>
      <c r="AN21" s="243"/>
      <c r="AO21" s="1338"/>
      <c r="AP21" s="1338"/>
      <c r="AQ21" s="1338"/>
      <c r="AR21" s="1338"/>
      <c r="AS21" s="1338"/>
      <c r="AT21" s="1338"/>
      <c r="AU21" s="1338"/>
      <c r="AV21" s="1338"/>
      <c r="AW21" s="1338"/>
      <c r="AX21" s="1338"/>
      <c r="AY21" s="1338"/>
      <c r="AZ21" s="1338"/>
      <c r="BA21" s="1338"/>
      <c r="BB21" s="1338"/>
      <c r="BC21" s="1338"/>
      <c r="BD21" s="1338"/>
      <c r="BE21" s="1338"/>
      <c r="BF21" s="1338"/>
      <c r="BG21" s="1338"/>
      <c r="BH21" s="1338"/>
      <c r="BI21" s="1338"/>
      <c r="BJ21" s="1338"/>
      <c r="BK21" s="242"/>
      <c r="BL21" s="243"/>
      <c r="BM21" s="1338"/>
      <c r="BN21" s="1338"/>
      <c r="BO21" s="1338"/>
      <c r="BP21" s="1338"/>
      <c r="BQ21" s="1338"/>
      <c r="BR21" s="1338"/>
      <c r="BS21" s="1338"/>
      <c r="BT21" s="1338"/>
      <c r="BU21" s="1338"/>
      <c r="BV21" s="1338"/>
      <c r="BW21" s="1338"/>
      <c r="BX21" s="1338"/>
      <c r="BY21" s="1338"/>
      <c r="BZ21" s="1338"/>
      <c r="CA21" s="1338"/>
      <c r="CB21" s="1338"/>
      <c r="CC21" s="1338"/>
      <c r="CD21" s="1338"/>
      <c r="CE21" s="1338"/>
      <c r="CF21" s="1338"/>
      <c r="CG21" s="1338"/>
      <c r="CH21" s="1338"/>
      <c r="CI21" s="242"/>
      <c r="CJ21" s="243"/>
      <c r="CK21" s="1338"/>
      <c r="CL21" s="1338"/>
      <c r="CM21" s="1338"/>
      <c r="CN21" s="1338"/>
      <c r="CO21" s="1338"/>
      <c r="CP21" s="1338"/>
      <c r="CQ21" s="1338"/>
      <c r="CR21" s="1338"/>
      <c r="CS21" s="1338"/>
      <c r="CT21" s="1338"/>
      <c r="CU21" s="1338"/>
      <c r="CV21" s="1338"/>
      <c r="CW21" s="1338"/>
      <c r="CX21" s="1338"/>
      <c r="CY21" s="1338"/>
      <c r="CZ21" s="1338"/>
      <c r="DA21" s="1338"/>
      <c r="DB21" s="1338"/>
      <c r="DC21" s="1338"/>
      <c r="DD21" s="1338"/>
      <c r="DE21" s="1338"/>
      <c r="DF21" s="1338"/>
      <c r="DG21" s="242"/>
      <c r="DH21" s="243"/>
      <c r="DI21" s="1338"/>
      <c r="DJ21" s="1338"/>
      <c r="DK21" s="1338"/>
      <c r="DL21" s="1338"/>
      <c r="DM21" s="1338"/>
      <c r="DN21" s="1338"/>
      <c r="DO21" s="1338"/>
      <c r="DP21" s="1338"/>
      <c r="DQ21" s="1338"/>
      <c r="DR21" s="1338"/>
      <c r="DS21" s="1338"/>
      <c r="DT21" s="1338"/>
      <c r="DU21" s="1338"/>
      <c r="DV21" s="1338"/>
      <c r="DW21" s="1338"/>
      <c r="DX21" s="1338"/>
      <c r="DY21" s="1338"/>
      <c r="DZ21" s="1338"/>
      <c r="EA21" s="1338"/>
      <c r="EB21" s="1338"/>
      <c r="EC21" s="1338"/>
      <c r="ED21" s="1338"/>
      <c r="EE21" s="242"/>
      <c r="EF21" s="243"/>
      <c r="EG21" s="1338"/>
      <c r="EH21" s="1338"/>
      <c r="EI21" s="1338"/>
      <c r="EJ21" s="1338"/>
      <c r="EK21" s="1338"/>
      <c r="EL21" s="1338"/>
      <c r="EM21" s="1338"/>
      <c r="EN21" s="1338"/>
      <c r="EO21" s="1338"/>
      <c r="EP21" s="1338"/>
      <c r="EQ21" s="1338"/>
      <c r="ER21" s="1338"/>
      <c r="ES21" s="1338"/>
      <c r="ET21" s="1338"/>
      <c r="EU21" s="1338"/>
      <c r="EV21" s="1338"/>
      <c r="EW21" s="1338"/>
      <c r="EX21" s="1338"/>
      <c r="EY21" s="1338"/>
      <c r="EZ21" s="1338"/>
      <c r="FA21" s="1338"/>
      <c r="FB21" s="1338"/>
      <c r="FC21" s="242"/>
      <c r="FD21" s="243"/>
      <c r="FE21" s="1338"/>
      <c r="FF21" s="1338"/>
      <c r="FG21" s="1338"/>
      <c r="FH21" s="1338"/>
      <c r="FI21" s="1338"/>
      <c r="FJ21" s="1338"/>
      <c r="FK21" s="1338"/>
      <c r="FL21" s="1338"/>
      <c r="FM21" s="1338"/>
      <c r="FN21" s="1338"/>
      <c r="FO21" s="1338"/>
      <c r="FP21" s="1338"/>
      <c r="FQ21" s="1338"/>
      <c r="FR21" s="1338"/>
      <c r="FS21" s="1338"/>
      <c r="FT21" s="1338"/>
      <c r="FU21" s="1338"/>
      <c r="FV21" s="1338"/>
      <c r="FW21" s="1338"/>
      <c r="FX21" s="1338"/>
      <c r="FY21" s="1338"/>
      <c r="FZ21" s="1338"/>
      <c r="GA21" s="242"/>
      <c r="GB21" s="243"/>
      <c r="GC21" s="1338"/>
      <c r="GD21" s="1338"/>
      <c r="GE21" s="1338"/>
      <c r="GF21" s="1338"/>
      <c r="GG21" s="1338"/>
      <c r="GH21" s="1338"/>
      <c r="GI21" s="1338"/>
      <c r="GJ21" s="1338"/>
      <c r="GK21" s="1338"/>
      <c r="GL21" s="1338"/>
      <c r="GM21" s="1338"/>
      <c r="GN21" s="1338"/>
      <c r="GO21" s="1338"/>
      <c r="GP21" s="1338"/>
      <c r="GQ21" s="1338"/>
      <c r="GR21" s="1338"/>
      <c r="GS21" s="1338"/>
      <c r="GT21" s="1338"/>
      <c r="GU21" s="1338"/>
      <c r="GV21" s="1338"/>
      <c r="GW21" s="1338"/>
      <c r="GX21" s="1338"/>
      <c r="GY21" s="242"/>
      <c r="GZ21" s="243"/>
      <c r="HA21" s="1338"/>
      <c r="HB21" s="1338"/>
      <c r="HC21" s="1338"/>
      <c r="HD21" s="1338"/>
      <c r="HE21" s="1338"/>
      <c r="HF21" s="1338"/>
      <c r="HG21" s="1338"/>
      <c r="HH21" s="1338"/>
      <c r="HI21" s="1338"/>
      <c r="HJ21" s="1338"/>
      <c r="HK21" s="1338"/>
      <c r="HL21" s="1338"/>
      <c r="HM21" s="1338"/>
      <c r="HN21" s="1338"/>
      <c r="HO21" s="1338"/>
      <c r="HP21" s="1338"/>
      <c r="HQ21" s="1338"/>
      <c r="HR21" s="1338"/>
      <c r="HS21" s="1338"/>
      <c r="HT21" s="1338"/>
      <c r="HU21" s="1338"/>
      <c r="HV21" s="1338"/>
      <c r="HW21" s="242"/>
      <c r="HX21" s="243"/>
      <c r="HY21" s="1338"/>
      <c r="HZ21" s="1338"/>
      <c r="IA21" s="1338"/>
      <c r="IB21" s="1338"/>
      <c r="IC21" s="1338"/>
      <c r="ID21" s="1338"/>
      <c r="IE21" s="1338"/>
      <c r="IF21" s="1338"/>
      <c r="IG21" s="1338"/>
      <c r="IH21" s="1338"/>
      <c r="II21" s="1338"/>
      <c r="IJ21" s="1338"/>
      <c r="IK21" s="1338"/>
      <c r="IL21" s="1338"/>
    </row>
    <row r="22" spans="1:32" s="256" customFormat="1" ht="63" customHeight="1">
      <c r="A22" s="1229"/>
      <c r="B22" s="253" t="s">
        <v>332</v>
      </c>
      <c r="C22" s="452">
        <v>131100</v>
      </c>
      <c r="D22" s="452">
        <v>0</v>
      </c>
      <c r="E22" s="230"/>
      <c r="F22" s="452">
        <v>118560</v>
      </c>
      <c r="G22" s="1125">
        <v>145532</v>
      </c>
      <c r="H22" s="452">
        <v>120120</v>
      </c>
      <c r="I22" s="230"/>
      <c r="J22" s="452">
        <v>131100</v>
      </c>
      <c r="K22" s="230"/>
      <c r="L22" s="1335"/>
      <c r="M22" s="1336"/>
      <c r="N22" s="1363"/>
      <c r="O22" s="1336"/>
      <c r="P22" s="1335"/>
      <c r="Q22" s="1336"/>
      <c r="R22" s="1363"/>
      <c r="S22" s="1336"/>
      <c r="T22" s="452"/>
      <c r="U22" s="230"/>
      <c r="V22" s="254"/>
      <c r="W22" s="254"/>
      <c r="X22" s="254"/>
      <c r="Y22" s="254"/>
      <c r="Z22" s="254"/>
      <c r="AA22" s="255"/>
      <c r="AB22" s="255"/>
      <c r="AC22" s="255"/>
      <c r="AD22" s="255"/>
      <c r="AE22" s="255"/>
      <c r="AF22" s="1152" t="s">
        <v>1353</v>
      </c>
    </row>
    <row r="23" spans="1:32" s="256" customFormat="1" ht="38.25">
      <c r="A23" s="1224" t="s">
        <v>1410</v>
      </c>
      <c r="B23" s="265" t="s">
        <v>375</v>
      </c>
      <c r="C23" s="261"/>
      <c r="D23" s="261"/>
      <c r="E23" s="248"/>
      <c r="F23" s="261"/>
      <c r="G23" s="248"/>
      <c r="H23" s="261"/>
      <c r="I23" s="248"/>
      <c r="J23" s="261"/>
      <c r="K23" s="248"/>
      <c r="L23" s="261"/>
      <c r="M23" s="262"/>
      <c r="N23" s="263"/>
      <c r="O23" s="262"/>
      <c r="P23" s="261"/>
      <c r="Q23" s="262"/>
      <c r="R23" s="263"/>
      <c r="S23" s="262"/>
      <c r="T23" s="261"/>
      <c r="U23" s="248"/>
      <c r="V23" s="254"/>
      <c r="W23" s="254" t="s">
        <v>325</v>
      </c>
      <c r="X23" s="254"/>
      <c r="Y23" s="254"/>
      <c r="Z23" s="254"/>
      <c r="AA23" s="255"/>
      <c r="AB23" s="255"/>
      <c r="AC23" s="255"/>
      <c r="AD23" s="255"/>
      <c r="AE23" s="255"/>
      <c r="AF23" s="255"/>
    </row>
    <row r="24" spans="1:32" s="256" customFormat="1" ht="76.5">
      <c r="A24" s="1230"/>
      <c r="B24" s="963" t="s">
        <v>1155</v>
      </c>
      <c r="C24" s="815">
        <v>13492051</v>
      </c>
      <c r="D24" s="428">
        <v>0</v>
      </c>
      <c r="E24" s="331"/>
      <c r="F24" s="428">
        <v>1349205</v>
      </c>
      <c r="G24" s="1189">
        <v>55975046</v>
      </c>
      <c r="H24" s="815">
        <v>4047615</v>
      </c>
      <c r="I24" s="331"/>
      <c r="J24" s="815">
        <v>13492051</v>
      </c>
      <c r="K24" s="331"/>
      <c r="L24" s="1354"/>
      <c r="M24" s="1355"/>
      <c r="N24" s="1360"/>
      <c r="O24" s="1355"/>
      <c r="P24" s="1354"/>
      <c r="Q24" s="1355"/>
      <c r="R24" s="1360"/>
      <c r="S24" s="1355"/>
      <c r="T24" s="428"/>
      <c r="U24" s="331"/>
      <c r="V24" s="254"/>
      <c r="W24" s="254"/>
      <c r="X24" s="254"/>
      <c r="Y24" s="254"/>
      <c r="Z24" s="254"/>
      <c r="AA24" s="255"/>
      <c r="AB24" s="255"/>
      <c r="AC24" s="255"/>
      <c r="AD24" s="255"/>
      <c r="AE24" s="255"/>
      <c r="AF24" s="1152" t="s">
        <v>1353</v>
      </c>
    </row>
    <row r="25" spans="1:32" s="256" customFormat="1" ht="25.5">
      <c r="A25" s="1225" t="s">
        <v>1411</v>
      </c>
      <c r="B25" s="265" t="s">
        <v>376</v>
      </c>
      <c r="C25" s="428"/>
      <c r="D25" s="428"/>
      <c r="E25" s="248"/>
      <c r="F25" s="428"/>
      <c r="G25" s="248"/>
      <c r="H25" s="428"/>
      <c r="I25" s="248"/>
      <c r="J25" s="428"/>
      <c r="K25" s="248"/>
      <c r="L25" s="428"/>
      <c r="M25" s="429"/>
      <c r="N25" s="430"/>
      <c r="O25" s="429"/>
      <c r="P25" s="428"/>
      <c r="Q25" s="429"/>
      <c r="R25" s="430"/>
      <c r="S25" s="429"/>
      <c r="T25" s="428"/>
      <c r="U25" s="248"/>
      <c r="V25" s="254"/>
      <c r="W25" s="254" t="s">
        <v>325</v>
      </c>
      <c r="X25" s="254"/>
      <c r="Y25" s="254"/>
      <c r="Z25" s="254"/>
      <c r="AA25" s="255"/>
      <c r="AB25" s="255"/>
      <c r="AC25" s="255"/>
      <c r="AD25" s="255"/>
      <c r="AE25" s="255"/>
      <c r="AF25" s="255"/>
    </row>
    <row r="26" spans="1:32" s="256" customFormat="1" ht="44.25" customHeight="1">
      <c r="A26" s="267"/>
      <c r="B26" s="253" t="s">
        <v>334</v>
      </c>
      <c r="C26" s="264">
        <v>0.2</v>
      </c>
      <c r="D26" s="428">
        <v>0</v>
      </c>
      <c r="E26" s="430"/>
      <c r="F26" s="428">
        <v>0</v>
      </c>
      <c r="G26" s="430"/>
      <c r="H26" s="264">
        <v>0.15</v>
      </c>
      <c r="I26" s="430"/>
      <c r="J26" s="264">
        <v>0.2</v>
      </c>
      <c r="K26" s="430"/>
      <c r="L26" s="1354"/>
      <c r="M26" s="1355"/>
      <c r="N26" s="1356"/>
      <c r="O26" s="1355"/>
      <c r="P26" s="1354"/>
      <c r="Q26" s="1355"/>
      <c r="R26" s="1356"/>
      <c r="S26" s="1355"/>
      <c r="T26" s="264"/>
      <c r="U26" s="430"/>
      <c r="V26" s="254"/>
      <c r="W26" s="254" t="s">
        <v>325</v>
      </c>
      <c r="X26" s="254"/>
      <c r="Y26" s="254"/>
      <c r="Z26" s="254"/>
      <c r="AA26" s="255"/>
      <c r="AB26" s="255"/>
      <c r="AC26" s="255"/>
      <c r="AD26" s="255"/>
      <c r="AE26" s="255"/>
      <c r="AF26" s="255"/>
    </row>
    <row r="27" spans="1:32" s="256" customFormat="1" ht="44.25" customHeight="1">
      <c r="A27" s="1226" t="s">
        <v>1412</v>
      </c>
      <c r="B27" s="246" t="s">
        <v>377</v>
      </c>
      <c r="C27" s="268"/>
      <c r="D27" s="269"/>
      <c r="E27" s="248"/>
      <c r="F27" s="269"/>
      <c r="G27" s="248"/>
      <c r="H27" s="268"/>
      <c r="I27" s="248"/>
      <c r="J27" s="268"/>
      <c r="K27" s="248"/>
      <c r="L27" s="269"/>
      <c r="M27" s="270"/>
      <c r="N27" s="271"/>
      <c r="O27" s="270"/>
      <c r="P27" s="269"/>
      <c r="Q27" s="270"/>
      <c r="R27" s="271"/>
      <c r="S27" s="270"/>
      <c r="T27" s="268"/>
      <c r="U27" s="248"/>
      <c r="V27" s="254"/>
      <c r="W27" s="254" t="s">
        <v>325</v>
      </c>
      <c r="X27" s="254"/>
      <c r="Y27" s="254"/>
      <c r="Z27" s="254"/>
      <c r="AA27" s="255"/>
      <c r="AB27" s="255"/>
      <c r="AC27" s="255"/>
      <c r="AD27" s="255"/>
      <c r="AE27" s="255"/>
      <c r="AF27" s="255"/>
    </row>
    <row r="28" spans="1:32" s="256" customFormat="1" ht="38.25">
      <c r="A28" s="260"/>
      <c r="B28" s="376" t="s">
        <v>335</v>
      </c>
      <c r="C28" s="272">
        <v>1</v>
      </c>
      <c r="D28" s="454">
        <v>0</v>
      </c>
      <c r="E28" s="455"/>
      <c r="F28" s="454">
        <v>0</v>
      </c>
      <c r="G28" s="455"/>
      <c r="H28" s="272">
        <v>0.4</v>
      </c>
      <c r="I28" s="455"/>
      <c r="J28" s="272">
        <v>1</v>
      </c>
      <c r="K28" s="455"/>
      <c r="L28" s="1364"/>
      <c r="M28" s="1365"/>
      <c r="N28" s="1366"/>
      <c r="O28" s="1365"/>
      <c r="P28" s="1364"/>
      <c r="Q28" s="1365"/>
      <c r="R28" s="1366"/>
      <c r="S28" s="1365"/>
      <c r="T28" s="272"/>
      <c r="U28" s="455"/>
      <c r="V28" s="254"/>
      <c r="W28" s="254"/>
      <c r="X28" s="254"/>
      <c r="Y28" s="254"/>
      <c r="Z28" s="254"/>
      <c r="AA28" s="255"/>
      <c r="AB28" s="255"/>
      <c r="AC28" s="255"/>
      <c r="AD28" s="255"/>
      <c r="AE28" s="255"/>
      <c r="AF28" s="255"/>
    </row>
    <row r="29" spans="1:246" s="244" customFormat="1" ht="41.25" customHeight="1" thickBot="1">
      <c r="A29" s="237">
        <v>3</v>
      </c>
      <c r="B29" s="238" t="s">
        <v>446</v>
      </c>
      <c r="C29" s="451"/>
      <c r="D29" s="451"/>
      <c r="E29" s="248"/>
      <c r="F29" s="451"/>
      <c r="G29" s="248"/>
      <c r="H29" s="451"/>
      <c r="I29" s="248"/>
      <c r="J29" s="451"/>
      <c r="K29" s="248"/>
      <c r="L29" s="1339"/>
      <c r="M29" s="1340"/>
      <c r="N29" s="1339"/>
      <c r="O29" s="1340"/>
      <c r="P29" s="1339"/>
      <c r="Q29" s="1340"/>
      <c r="R29" s="1339"/>
      <c r="S29" s="1340"/>
      <c r="T29" s="451"/>
      <c r="U29" s="451"/>
      <c r="V29" s="239"/>
      <c r="W29" s="239"/>
      <c r="X29" s="239"/>
      <c r="Y29" s="239"/>
      <c r="Z29" s="239"/>
      <c r="AA29" s="240"/>
      <c r="AB29" s="240"/>
      <c r="AC29" s="240"/>
      <c r="AD29" s="240"/>
      <c r="AE29" s="240"/>
      <c r="AF29" s="240"/>
      <c r="AG29" s="1338"/>
      <c r="AH29" s="1338"/>
      <c r="AI29" s="1338"/>
      <c r="AJ29" s="1338"/>
      <c r="AK29" s="1338"/>
      <c r="AL29" s="1338"/>
      <c r="AM29" s="242"/>
      <c r="AN29" s="243"/>
      <c r="AO29" s="1338"/>
      <c r="AP29" s="1338"/>
      <c r="AQ29" s="1338"/>
      <c r="AR29" s="1338"/>
      <c r="AS29" s="1338"/>
      <c r="AT29" s="1338"/>
      <c r="AU29" s="1338"/>
      <c r="AV29" s="1338"/>
      <c r="AW29" s="1338"/>
      <c r="AX29" s="1338"/>
      <c r="AY29" s="1338"/>
      <c r="AZ29" s="1338"/>
      <c r="BA29" s="1338"/>
      <c r="BB29" s="1338"/>
      <c r="BC29" s="1338"/>
      <c r="BD29" s="1338"/>
      <c r="BE29" s="1338"/>
      <c r="BF29" s="1338"/>
      <c r="BG29" s="1338"/>
      <c r="BH29" s="1338"/>
      <c r="BI29" s="1338"/>
      <c r="BJ29" s="1338"/>
      <c r="BK29" s="242"/>
      <c r="BL29" s="243"/>
      <c r="BM29" s="1338"/>
      <c r="BN29" s="1338"/>
      <c r="BO29" s="1338"/>
      <c r="BP29" s="1338"/>
      <c r="BQ29" s="1338"/>
      <c r="BR29" s="1338"/>
      <c r="BS29" s="1338"/>
      <c r="BT29" s="1338"/>
      <c r="BU29" s="1338"/>
      <c r="BV29" s="1338"/>
      <c r="BW29" s="1338"/>
      <c r="BX29" s="1338"/>
      <c r="BY29" s="1338"/>
      <c r="BZ29" s="1338"/>
      <c r="CA29" s="1338"/>
      <c r="CB29" s="1338"/>
      <c r="CC29" s="1338"/>
      <c r="CD29" s="1338"/>
      <c r="CE29" s="1338"/>
      <c r="CF29" s="1338"/>
      <c r="CG29" s="1338"/>
      <c r="CH29" s="1338"/>
      <c r="CI29" s="242"/>
      <c r="CJ29" s="243"/>
      <c r="CK29" s="1338"/>
      <c r="CL29" s="1338"/>
      <c r="CM29" s="1338"/>
      <c r="CN29" s="1338"/>
      <c r="CO29" s="1338"/>
      <c r="CP29" s="1338"/>
      <c r="CQ29" s="1338"/>
      <c r="CR29" s="1338"/>
      <c r="CS29" s="1338"/>
      <c r="CT29" s="1338"/>
      <c r="CU29" s="1338"/>
      <c r="CV29" s="1338"/>
      <c r="CW29" s="1338"/>
      <c r="CX29" s="1338"/>
      <c r="CY29" s="1338"/>
      <c r="CZ29" s="1338"/>
      <c r="DA29" s="1338"/>
      <c r="DB29" s="1338"/>
      <c r="DC29" s="1338"/>
      <c r="DD29" s="1338"/>
      <c r="DE29" s="1338"/>
      <c r="DF29" s="1338"/>
      <c r="DG29" s="242"/>
      <c r="DH29" s="243"/>
      <c r="DI29" s="1338"/>
      <c r="DJ29" s="1338"/>
      <c r="DK29" s="1338"/>
      <c r="DL29" s="1338"/>
      <c r="DM29" s="1338"/>
      <c r="DN29" s="1338"/>
      <c r="DO29" s="1338"/>
      <c r="DP29" s="1338"/>
      <c r="DQ29" s="1338"/>
      <c r="DR29" s="1338"/>
      <c r="DS29" s="1338"/>
      <c r="DT29" s="1338"/>
      <c r="DU29" s="1338"/>
      <c r="DV29" s="1338"/>
      <c r="DW29" s="1338"/>
      <c r="DX29" s="1338"/>
      <c r="DY29" s="1338"/>
      <c r="DZ29" s="1338"/>
      <c r="EA29" s="1338"/>
      <c r="EB29" s="1338"/>
      <c r="EC29" s="1338"/>
      <c r="ED29" s="1338"/>
      <c r="EE29" s="242"/>
      <c r="EF29" s="243"/>
      <c r="EG29" s="1338"/>
      <c r="EH29" s="1338"/>
      <c r="EI29" s="1338"/>
      <c r="EJ29" s="1338"/>
      <c r="EK29" s="1338"/>
      <c r="EL29" s="1338"/>
      <c r="EM29" s="1338"/>
      <c r="EN29" s="1338"/>
      <c r="EO29" s="1338"/>
      <c r="EP29" s="1338"/>
      <c r="EQ29" s="1338"/>
      <c r="ER29" s="1338"/>
      <c r="ES29" s="1338"/>
      <c r="ET29" s="1338"/>
      <c r="EU29" s="1338"/>
      <c r="EV29" s="1338"/>
      <c r="EW29" s="1338"/>
      <c r="EX29" s="1338"/>
      <c r="EY29" s="1338"/>
      <c r="EZ29" s="1338"/>
      <c r="FA29" s="1338"/>
      <c r="FB29" s="1338"/>
      <c r="FC29" s="242"/>
      <c r="FD29" s="243"/>
      <c r="FE29" s="1338"/>
      <c r="FF29" s="1338"/>
      <c r="FG29" s="1338"/>
      <c r="FH29" s="1338"/>
      <c r="FI29" s="1338"/>
      <c r="FJ29" s="1338"/>
      <c r="FK29" s="1338"/>
      <c r="FL29" s="1338"/>
      <c r="FM29" s="1338"/>
      <c r="FN29" s="1338"/>
      <c r="FO29" s="1338"/>
      <c r="FP29" s="1338"/>
      <c r="FQ29" s="1338"/>
      <c r="FR29" s="1338"/>
      <c r="FS29" s="1338"/>
      <c r="FT29" s="1338"/>
      <c r="FU29" s="1338"/>
      <c r="FV29" s="1338"/>
      <c r="FW29" s="1338"/>
      <c r="FX29" s="1338"/>
      <c r="FY29" s="1338"/>
      <c r="FZ29" s="1338"/>
      <c r="GA29" s="242"/>
      <c r="GB29" s="243"/>
      <c r="GC29" s="1338"/>
      <c r="GD29" s="1338"/>
      <c r="GE29" s="1338"/>
      <c r="GF29" s="1338"/>
      <c r="GG29" s="1338"/>
      <c r="GH29" s="1338"/>
      <c r="GI29" s="1338"/>
      <c r="GJ29" s="1338"/>
      <c r="GK29" s="1338"/>
      <c r="GL29" s="1338"/>
      <c r="GM29" s="1338"/>
      <c r="GN29" s="1338"/>
      <c r="GO29" s="1338"/>
      <c r="GP29" s="1338"/>
      <c r="GQ29" s="1338"/>
      <c r="GR29" s="1338"/>
      <c r="GS29" s="1338"/>
      <c r="GT29" s="1338"/>
      <c r="GU29" s="1338"/>
      <c r="GV29" s="1338"/>
      <c r="GW29" s="1338"/>
      <c r="GX29" s="1338"/>
      <c r="GY29" s="242"/>
      <c r="GZ29" s="243"/>
      <c r="HA29" s="1338"/>
      <c r="HB29" s="1338"/>
      <c r="HC29" s="1338"/>
      <c r="HD29" s="1338"/>
      <c r="HE29" s="1338"/>
      <c r="HF29" s="1338"/>
      <c r="HG29" s="1338"/>
      <c r="HH29" s="1338"/>
      <c r="HI29" s="1338"/>
      <c r="HJ29" s="1338"/>
      <c r="HK29" s="1338"/>
      <c r="HL29" s="1338"/>
      <c r="HM29" s="1338"/>
      <c r="HN29" s="1338"/>
      <c r="HO29" s="1338"/>
      <c r="HP29" s="1338"/>
      <c r="HQ29" s="1338"/>
      <c r="HR29" s="1338"/>
      <c r="HS29" s="1338"/>
      <c r="HT29" s="1338"/>
      <c r="HU29" s="1338"/>
      <c r="HV29" s="1338"/>
      <c r="HW29" s="242"/>
      <c r="HX29" s="243"/>
      <c r="HY29" s="1338"/>
      <c r="HZ29" s="1338"/>
      <c r="IA29" s="1338"/>
      <c r="IB29" s="1338"/>
      <c r="IC29" s="1338"/>
      <c r="ID29" s="1338"/>
      <c r="IE29" s="1338"/>
      <c r="IF29" s="1338"/>
      <c r="IG29" s="1338"/>
      <c r="IH29" s="1338"/>
      <c r="II29" s="1338"/>
      <c r="IJ29" s="1338"/>
      <c r="IK29" s="1338"/>
      <c r="IL29" s="1338"/>
    </row>
    <row r="30" spans="1:246" s="244" customFormat="1" ht="31.5" customHeight="1" thickBot="1">
      <c r="A30" s="1117" t="s">
        <v>439</v>
      </c>
      <c r="B30" s="246" t="s">
        <v>440</v>
      </c>
      <c r="C30" s="247"/>
      <c r="D30" s="247"/>
      <c r="E30" s="248"/>
      <c r="F30" s="247"/>
      <c r="G30" s="248"/>
      <c r="H30" s="247"/>
      <c r="I30" s="248"/>
      <c r="J30" s="247"/>
      <c r="K30" s="248"/>
      <c r="L30" s="247"/>
      <c r="M30" s="249"/>
      <c r="N30" s="248"/>
      <c r="O30" s="250"/>
      <c r="P30" s="247"/>
      <c r="Q30" s="249"/>
      <c r="R30" s="248"/>
      <c r="S30" s="250"/>
      <c r="T30" s="247"/>
      <c r="U30" s="248"/>
      <c r="V30" s="239"/>
      <c r="W30" s="239"/>
      <c r="X30" s="239"/>
      <c r="Y30" s="239"/>
      <c r="Z30" s="239"/>
      <c r="AA30" s="240" t="s">
        <v>325</v>
      </c>
      <c r="AB30" s="240"/>
      <c r="AC30" s="240"/>
      <c r="AD30" s="240"/>
      <c r="AE30" s="240"/>
      <c r="AF30" s="240"/>
      <c r="AG30" s="251"/>
      <c r="AH30" s="251"/>
      <c r="AI30" s="251"/>
      <c r="AJ30" s="251"/>
      <c r="AK30" s="251"/>
      <c r="AL30" s="251"/>
      <c r="AM30" s="242"/>
      <c r="AN30" s="243"/>
      <c r="AO30" s="251"/>
      <c r="AP30" s="251"/>
      <c r="AQ30" s="251"/>
      <c r="AR30" s="251"/>
      <c r="AS30" s="251"/>
      <c r="AT30" s="251"/>
      <c r="AU30" s="251"/>
      <c r="AV30" s="251"/>
      <c r="AW30" s="251"/>
      <c r="AX30" s="251"/>
      <c r="AY30" s="251"/>
      <c r="AZ30" s="251"/>
      <c r="BA30" s="251"/>
      <c r="BB30" s="251"/>
      <c r="BC30" s="251"/>
      <c r="BD30" s="251"/>
      <c r="BE30" s="251"/>
      <c r="BF30" s="251"/>
      <c r="BG30" s="251"/>
      <c r="BH30" s="251"/>
      <c r="BI30" s="251"/>
      <c r="BJ30" s="251"/>
      <c r="BK30" s="242"/>
      <c r="BL30" s="243"/>
      <c r="BM30" s="251"/>
      <c r="BN30" s="251"/>
      <c r="BO30" s="251"/>
      <c r="BP30" s="251"/>
      <c r="BQ30" s="251"/>
      <c r="BR30" s="251"/>
      <c r="BS30" s="251"/>
      <c r="BT30" s="251"/>
      <c r="BU30" s="251"/>
      <c r="BV30" s="251"/>
      <c r="BW30" s="251"/>
      <c r="BX30" s="251"/>
      <c r="BY30" s="251"/>
      <c r="BZ30" s="251"/>
      <c r="CA30" s="251"/>
      <c r="CB30" s="251"/>
      <c r="CC30" s="251"/>
      <c r="CD30" s="251"/>
      <c r="CE30" s="251"/>
      <c r="CF30" s="251"/>
      <c r="CG30" s="251"/>
      <c r="CH30" s="251"/>
      <c r="CI30" s="242"/>
      <c r="CJ30" s="243"/>
      <c r="CK30" s="251"/>
      <c r="CL30" s="251"/>
      <c r="CM30" s="251"/>
      <c r="CN30" s="251"/>
      <c r="CO30" s="251"/>
      <c r="CP30" s="251"/>
      <c r="CQ30" s="251"/>
      <c r="CR30" s="251"/>
      <c r="CS30" s="251"/>
      <c r="CT30" s="251"/>
      <c r="CU30" s="251"/>
      <c r="CV30" s="251"/>
      <c r="CW30" s="251"/>
      <c r="CX30" s="251"/>
      <c r="CY30" s="251"/>
      <c r="CZ30" s="251"/>
      <c r="DA30" s="251"/>
      <c r="DB30" s="251"/>
      <c r="DC30" s="251"/>
      <c r="DD30" s="251"/>
      <c r="DE30" s="251"/>
      <c r="DF30" s="251"/>
      <c r="DG30" s="242"/>
      <c r="DH30" s="243"/>
      <c r="DI30" s="251"/>
      <c r="DJ30" s="251"/>
      <c r="DK30" s="251"/>
      <c r="DL30" s="251"/>
      <c r="DM30" s="251"/>
      <c r="DN30" s="251"/>
      <c r="DO30" s="251"/>
      <c r="DP30" s="251"/>
      <c r="DQ30" s="251"/>
      <c r="DR30" s="251"/>
      <c r="DS30" s="251"/>
      <c r="DT30" s="251"/>
      <c r="DU30" s="251"/>
      <c r="DV30" s="251"/>
      <c r="DW30" s="251"/>
      <c r="DX30" s="251"/>
      <c r="DY30" s="251"/>
      <c r="DZ30" s="251"/>
      <c r="EA30" s="251"/>
      <c r="EB30" s="251"/>
      <c r="EC30" s="251"/>
      <c r="ED30" s="251"/>
      <c r="EE30" s="242"/>
      <c r="EF30" s="243"/>
      <c r="EG30" s="251"/>
      <c r="EH30" s="251"/>
      <c r="EI30" s="251"/>
      <c r="EJ30" s="251"/>
      <c r="EK30" s="251"/>
      <c r="EL30" s="251"/>
      <c r="EM30" s="251"/>
      <c r="EN30" s="251"/>
      <c r="EO30" s="251"/>
      <c r="EP30" s="251"/>
      <c r="EQ30" s="251"/>
      <c r="ER30" s="251"/>
      <c r="ES30" s="251"/>
      <c r="ET30" s="251"/>
      <c r="EU30" s="251"/>
      <c r="EV30" s="251"/>
      <c r="EW30" s="251"/>
      <c r="EX30" s="251"/>
      <c r="EY30" s="251"/>
      <c r="EZ30" s="251"/>
      <c r="FA30" s="251"/>
      <c r="FB30" s="251"/>
      <c r="FC30" s="242"/>
      <c r="FD30" s="243"/>
      <c r="FE30" s="251"/>
      <c r="FF30" s="251"/>
      <c r="FG30" s="251"/>
      <c r="FH30" s="251"/>
      <c r="FI30" s="251"/>
      <c r="FJ30" s="251"/>
      <c r="FK30" s="251"/>
      <c r="FL30" s="251"/>
      <c r="FM30" s="251"/>
      <c r="FN30" s="251"/>
      <c r="FO30" s="251"/>
      <c r="FP30" s="251"/>
      <c r="FQ30" s="251"/>
      <c r="FR30" s="251"/>
      <c r="FS30" s="251"/>
      <c r="FT30" s="251"/>
      <c r="FU30" s="251"/>
      <c r="FV30" s="251"/>
      <c r="FW30" s="251"/>
      <c r="FX30" s="251"/>
      <c r="FY30" s="251"/>
      <c r="FZ30" s="251"/>
      <c r="GA30" s="242"/>
      <c r="GB30" s="243"/>
      <c r="GC30" s="251"/>
      <c r="GD30" s="251"/>
      <c r="GE30" s="251"/>
      <c r="GF30" s="251"/>
      <c r="GG30" s="251"/>
      <c r="GH30" s="251"/>
      <c r="GI30" s="251"/>
      <c r="GJ30" s="251"/>
      <c r="GK30" s="251"/>
      <c r="GL30" s="251"/>
      <c r="GM30" s="251"/>
      <c r="GN30" s="251"/>
      <c r="GO30" s="251"/>
      <c r="GP30" s="251"/>
      <c r="GQ30" s="251"/>
      <c r="GR30" s="251"/>
      <c r="GS30" s="251"/>
      <c r="GT30" s="251"/>
      <c r="GU30" s="251"/>
      <c r="GV30" s="251"/>
      <c r="GW30" s="251"/>
      <c r="GX30" s="251"/>
      <c r="GY30" s="242"/>
      <c r="GZ30" s="243"/>
      <c r="HA30" s="251"/>
      <c r="HB30" s="251"/>
      <c r="HC30" s="251"/>
      <c r="HD30" s="251"/>
      <c r="HE30" s="251"/>
      <c r="HF30" s="251"/>
      <c r="HG30" s="251"/>
      <c r="HH30" s="251"/>
      <c r="HI30" s="251"/>
      <c r="HJ30" s="251"/>
      <c r="HK30" s="251"/>
      <c r="HL30" s="251"/>
      <c r="HM30" s="251"/>
      <c r="HN30" s="251"/>
      <c r="HO30" s="251"/>
      <c r="HP30" s="251"/>
      <c r="HQ30" s="251"/>
      <c r="HR30" s="251"/>
      <c r="HS30" s="251"/>
      <c r="HT30" s="251"/>
      <c r="HU30" s="251"/>
      <c r="HV30" s="251"/>
      <c r="HW30" s="242"/>
      <c r="HX30" s="243"/>
      <c r="HY30" s="251"/>
      <c r="HZ30" s="251"/>
      <c r="IA30" s="251"/>
      <c r="IB30" s="251"/>
      <c r="IC30" s="251"/>
      <c r="ID30" s="251"/>
      <c r="IE30" s="251"/>
      <c r="IF30" s="251"/>
      <c r="IG30" s="251"/>
      <c r="IH30" s="251"/>
      <c r="II30" s="251"/>
      <c r="IJ30" s="251"/>
      <c r="IK30" s="251"/>
      <c r="IL30" s="251"/>
    </row>
    <row r="31" spans="1:32" s="256" customFormat="1" ht="38.25">
      <c r="A31" s="260"/>
      <c r="B31" s="376" t="s">
        <v>336</v>
      </c>
      <c r="C31" s="917" t="s">
        <v>1195</v>
      </c>
      <c r="D31" s="452">
        <v>0</v>
      </c>
      <c r="E31" s="427"/>
      <c r="F31" s="452">
        <v>0</v>
      </c>
      <c r="G31" s="427"/>
      <c r="H31" s="917">
        <v>1</v>
      </c>
      <c r="I31" s="427"/>
      <c r="J31" s="452">
        <v>0</v>
      </c>
      <c r="K31" s="427"/>
      <c r="L31" s="1335"/>
      <c r="M31" s="1336"/>
      <c r="N31" s="1337"/>
      <c r="O31" s="1336"/>
      <c r="P31" s="1335"/>
      <c r="Q31" s="1336"/>
      <c r="R31" s="1337"/>
      <c r="S31" s="1336"/>
      <c r="T31" s="452"/>
      <c r="U31" s="427"/>
      <c r="V31" s="254"/>
      <c r="W31" s="254"/>
      <c r="X31" s="254"/>
      <c r="Y31" s="254"/>
      <c r="Z31" s="254"/>
      <c r="AA31" s="255"/>
      <c r="AB31" s="255"/>
      <c r="AC31" s="255"/>
      <c r="AD31" s="255"/>
      <c r="AE31" s="255"/>
      <c r="AF31" s="1152" t="s">
        <v>1358</v>
      </c>
    </row>
    <row r="32" spans="1:32" s="256" customFormat="1" ht="38.25">
      <c r="A32" s="252"/>
      <c r="B32" s="253" t="s">
        <v>337</v>
      </c>
      <c r="C32" s="1231" t="s">
        <v>1195</v>
      </c>
      <c r="D32" s="428">
        <v>0</v>
      </c>
      <c r="E32" s="430"/>
      <c r="F32" s="428">
        <v>0</v>
      </c>
      <c r="G32" s="430"/>
      <c r="H32" s="1231">
        <v>1</v>
      </c>
      <c r="I32" s="430"/>
      <c r="J32" s="428">
        <v>0</v>
      </c>
      <c r="K32" s="430"/>
      <c r="L32" s="1354"/>
      <c r="M32" s="1355"/>
      <c r="N32" s="1356"/>
      <c r="O32" s="1355"/>
      <c r="P32" s="1354"/>
      <c r="Q32" s="1355"/>
      <c r="R32" s="1356"/>
      <c r="S32" s="1355"/>
      <c r="T32" s="428"/>
      <c r="U32" s="430"/>
      <c r="V32" s="254"/>
      <c r="W32" s="254"/>
      <c r="X32" s="254"/>
      <c r="Y32" s="254"/>
      <c r="Z32" s="254"/>
      <c r="AA32" s="255"/>
      <c r="AB32" s="255"/>
      <c r="AC32" s="255"/>
      <c r="AD32" s="255"/>
      <c r="AE32" s="255"/>
      <c r="AF32" s="1152" t="s">
        <v>1358</v>
      </c>
    </row>
    <row r="33" spans="1:32" s="256" customFormat="1" ht="25.5">
      <c r="A33" s="1226" t="s">
        <v>438</v>
      </c>
      <c r="B33" s="918" t="s">
        <v>441</v>
      </c>
      <c r="C33" s="269"/>
      <c r="D33" s="269"/>
      <c r="E33" s="248"/>
      <c r="F33" s="269"/>
      <c r="G33" s="248"/>
      <c r="H33" s="269"/>
      <c r="I33" s="248"/>
      <c r="J33" s="269"/>
      <c r="K33" s="248"/>
      <c r="L33" s="269"/>
      <c r="M33" s="270"/>
      <c r="N33" s="271"/>
      <c r="O33" s="270"/>
      <c r="P33" s="269"/>
      <c r="Q33" s="270"/>
      <c r="R33" s="271"/>
      <c r="S33" s="270"/>
      <c r="T33" s="269"/>
      <c r="U33" s="248"/>
      <c r="V33" s="254"/>
      <c r="W33" s="254"/>
      <c r="X33" s="254"/>
      <c r="Y33" s="254"/>
      <c r="Z33" s="254"/>
      <c r="AA33" s="255" t="s">
        <v>325</v>
      </c>
      <c r="AB33" s="255"/>
      <c r="AC33" s="255"/>
      <c r="AD33" s="255"/>
      <c r="AE33" s="255"/>
      <c r="AF33" s="255"/>
    </row>
    <row r="34" spans="1:32" s="256" customFormat="1" ht="88.5" customHeight="1">
      <c r="A34" s="957"/>
      <c r="B34" s="958" t="s">
        <v>1196</v>
      </c>
      <c r="C34" s="272">
        <v>1</v>
      </c>
      <c r="D34" s="272">
        <v>0</v>
      </c>
      <c r="E34" s="453"/>
      <c r="F34" s="272">
        <v>0</v>
      </c>
      <c r="G34" s="453"/>
      <c r="H34" s="272">
        <v>0</v>
      </c>
      <c r="I34" s="453"/>
      <c r="J34" s="968">
        <v>1</v>
      </c>
      <c r="K34" s="453"/>
      <c r="L34" s="1364"/>
      <c r="M34" s="1365"/>
      <c r="N34" s="1367"/>
      <c r="O34" s="1365"/>
      <c r="P34" s="1364"/>
      <c r="Q34" s="1365"/>
      <c r="R34" s="1367"/>
      <c r="S34" s="1365"/>
      <c r="T34" s="272"/>
      <c r="U34" s="453"/>
      <c r="V34" s="254"/>
      <c r="W34" s="254"/>
      <c r="X34" s="254"/>
      <c r="Y34" s="254"/>
      <c r="Z34" s="254"/>
      <c r="AA34" s="255"/>
      <c r="AB34" s="255"/>
      <c r="AC34" s="255"/>
      <c r="AD34" s="255"/>
      <c r="AE34" s="255"/>
      <c r="AF34" s="255"/>
    </row>
    <row r="35" spans="1:32" s="256" customFormat="1" ht="48" customHeight="1">
      <c r="A35" s="1117" t="s">
        <v>437</v>
      </c>
      <c r="B35" s="966" t="s">
        <v>442</v>
      </c>
      <c r="C35" s="269"/>
      <c r="D35" s="269"/>
      <c r="E35" s="248"/>
      <c r="F35" s="269"/>
      <c r="G35" s="248"/>
      <c r="H35" s="269"/>
      <c r="I35" s="248"/>
      <c r="J35" s="269"/>
      <c r="K35" s="248"/>
      <c r="L35" s="269"/>
      <c r="M35" s="270"/>
      <c r="N35" s="271"/>
      <c r="O35" s="270"/>
      <c r="P35" s="269"/>
      <c r="Q35" s="270"/>
      <c r="R35" s="271"/>
      <c r="S35" s="270"/>
      <c r="T35" s="269"/>
      <c r="U35" s="248"/>
      <c r="V35" s="254"/>
      <c r="W35" s="254"/>
      <c r="X35" s="254"/>
      <c r="Y35" s="254"/>
      <c r="Z35" s="254"/>
      <c r="AA35" s="255" t="s">
        <v>325</v>
      </c>
      <c r="AB35" s="255"/>
      <c r="AC35" s="255"/>
      <c r="AD35" s="255"/>
      <c r="AE35" s="255"/>
      <c r="AF35" s="255"/>
    </row>
    <row r="36" spans="1:32" s="256" customFormat="1" ht="38.25">
      <c r="A36" s="957"/>
      <c r="B36" s="967" t="s">
        <v>339</v>
      </c>
      <c r="C36" s="968" t="s">
        <v>1195</v>
      </c>
      <c r="D36" s="428">
        <v>0</v>
      </c>
      <c r="E36" s="453"/>
      <c r="F36" s="428">
        <v>0</v>
      </c>
      <c r="G36" s="453"/>
      <c r="H36" s="428">
        <v>0</v>
      </c>
      <c r="I36" s="453"/>
      <c r="J36" s="1119">
        <v>1</v>
      </c>
      <c r="K36" s="453"/>
      <c r="L36" s="1364"/>
      <c r="M36" s="1365"/>
      <c r="N36" s="1367"/>
      <c r="O36" s="1365"/>
      <c r="P36" s="1364"/>
      <c r="Q36" s="1365"/>
      <c r="R36" s="1367"/>
      <c r="S36" s="1365"/>
      <c r="T36" s="428"/>
      <c r="U36" s="453"/>
      <c r="V36" s="254"/>
      <c r="W36" s="254"/>
      <c r="X36" s="254"/>
      <c r="Y36" s="254"/>
      <c r="Z36" s="254"/>
      <c r="AA36" s="255"/>
      <c r="AB36" s="255"/>
      <c r="AC36" s="255"/>
      <c r="AD36" s="255"/>
      <c r="AE36" s="255"/>
      <c r="AF36" s="255"/>
    </row>
    <row r="37" spans="1:246" s="244" customFormat="1" ht="31.5" customHeight="1" thickBot="1">
      <c r="A37" s="237">
        <v>4</v>
      </c>
      <c r="B37" s="238" t="s">
        <v>447</v>
      </c>
      <c r="C37" s="451"/>
      <c r="D37" s="451"/>
      <c r="E37" s="248"/>
      <c r="F37" s="451"/>
      <c r="G37" s="248"/>
      <c r="H37" s="451"/>
      <c r="I37" s="248"/>
      <c r="J37" s="451"/>
      <c r="K37" s="248"/>
      <c r="L37" s="1339"/>
      <c r="M37" s="1340"/>
      <c r="N37" s="1339"/>
      <c r="O37" s="1340"/>
      <c r="P37" s="1339"/>
      <c r="Q37" s="1340"/>
      <c r="R37" s="1339"/>
      <c r="S37" s="1340"/>
      <c r="T37" s="451"/>
      <c r="U37" s="451"/>
      <c r="V37" s="239"/>
      <c r="W37" s="239"/>
      <c r="X37" s="239"/>
      <c r="Y37" s="239"/>
      <c r="Z37" s="239"/>
      <c r="AA37" s="240"/>
      <c r="AB37" s="240"/>
      <c r="AC37" s="240"/>
      <c r="AD37" s="240"/>
      <c r="AE37" s="240"/>
      <c r="AF37" s="240"/>
      <c r="AG37" s="1338"/>
      <c r="AH37" s="1338"/>
      <c r="AI37" s="1338"/>
      <c r="AJ37" s="1338"/>
      <c r="AK37" s="1338"/>
      <c r="AL37" s="1338"/>
      <c r="AM37" s="242"/>
      <c r="AN37" s="243"/>
      <c r="AO37" s="1338"/>
      <c r="AP37" s="1338"/>
      <c r="AQ37" s="1338"/>
      <c r="AR37" s="1338"/>
      <c r="AS37" s="1338"/>
      <c r="AT37" s="1338"/>
      <c r="AU37" s="1338"/>
      <c r="AV37" s="1338"/>
      <c r="AW37" s="1338"/>
      <c r="AX37" s="1338"/>
      <c r="AY37" s="1338"/>
      <c r="AZ37" s="1338"/>
      <c r="BA37" s="1338"/>
      <c r="BB37" s="1338"/>
      <c r="BC37" s="1338"/>
      <c r="BD37" s="1338"/>
      <c r="BE37" s="1338"/>
      <c r="BF37" s="1338"/>
      <c r="BG37" s="1338"/>
      <c r="BH37" s="1338"/>
      <c r="BI37" s="1338"/>
      <c r="BJ37" s="1338"/>
      <c r="BK37" s="242"/>
      <c r="BL37" s="243"/>
      <c r="BM37" s="1338"/>
      <c r="BN37" s="1338"/>
      <c r="BO37" s="1338"/>
      <c r="BP37" s="1338"/>
      <c r="BQ37" s="1338"/>
      <c r="BR37" s="1338"/>
      <c r="BS37" s="1338"/>
      <c r="BT37" s="1338"/>
      <c r="BU37" s="1338"/>
      <c r="BV37" s="1338"/>
      <c r="BW37" s="1338"/>
      <c r="BX37" s="1338"/>
      <c r="BY37" s="1338"/>
      <c r="BZ37" s="1338"/>
      <c r="CA37" s="1338"/>
      <c r="CB37" s="1338"/>
      <c r="CC37" s="1338"/>
      <c r="CD37" s="1338"/>
      <c r="CE37" s="1338"/>
      <c r="CF37" s="1338"/>
      <c r="CG37" s="1338"/>
      <c r="CH37" s="1338"/>
      <c r="CI37" s="242"/>
      <c r="CJ37" s="243"/>
      <c r="CK37" s="1338"/>
      <c r="CL37" s="1338"/>
      <c r="CM37" s="1338"/>
      <c r="CN37" s="1338"/>
      <c r="CO37" s="1338"/>
      <c r="CP37" s="1338"/>
      <c r="CQ37" s="1338"/>
      <c r="CR37" s="1338"/>
      <c r="CS37" s="1338"/>
      <c r="CT37" s="1338"/>
      <c r="CU37" s="1338"/>
      <c r="CV37" s="1338"/>
      <c r="CW37" s="1338"/>
      <c r="CX37" s="1338"/>
      <c r="CY37" s="1338"/>
      <c r="CZ37" s="1338"/>
      <c r="DA37" s="1338"/>
      <c r="DB37" s="1338"/>
      <c r="DC37" s="1338"/>
      <c r="DD37" s="1338"/>
      <c r="DE37" s="1338"/>
      <c r="DF37" s="1338"/>
      <c r="DG37" s="242"/>
      <c r="DH37" s="243"/>
      <c r="DI37" s="1338"/>
      <c r="DJ37" s="1338"/>
      <c r="DK37" s="1338"/>
      <c r="DL37" s="1338"/>
      <c r="DM37" s="1338"/>
      <c r="DN37" s="1338"/>
      <c r="DO37" s="1338"/>
      <c r="DP37" s="1338"/>
      <c r="DQ37" s="1338"/>
      <c r="DR37" s="1338"/>
      <c r="DS37" s="1338"/>
      <c r="DT37" s="1338"/>
      <c r="DU37" s="1338"/>
      <c r="DV37" s="1338"/>
      <c r="DW37" s="1338"/>
      <c r="DX37" s="1338"/>
      <c r="DY37" s="1338"/>
      <c r="DZ37" s="1338"/>
      <c r="EA37" s="1338"/>
      <c r="EB37" s="1338"/>
      <c r="EC37" s="1338"/>
      <c r="ED37" s="1338"/>
      <c r="EE37" s="242"/>
      <c r="EF37" s="243"/>
      <c r="EG37" s="1338"/>
      <c r="EH37" s="1338"/>
      <c r="EI37" s="1338"/>
      <c r="EJ37" s="1338"/>
      <c r="EK37" s="1338"/>
      <c r="EL37" s="1338"/>
      <c r="EM37" s="1338"/>
      <c r="EN37" s="1338"/>
      <c r="EO37" s="1338"/>
      <c r="EP37" s="1338"/>
      <c r="EQ37" s="1338"/>
      <c r="ER37" s="1338"/>
      <c r="ES37" s="1338"/>
      <c r="ET37" s="1338"/>
      <c r="EU37" s="1338"/>
      <c r="EV37" s="1338"/>
      <c r="EW37" s="1338"/>
      <c r="EX37" s="1338"/>
      <c r="EY37" s="1338"/>
      <c r="EZ37" s="1338"/>
      <c r="FA37" s="1338"/>
      <c r="FB37" s="1338"/>
      <c r="FC37" s="242"/>
      <c r="FD37" s="243"/>
      <c r="FE37" s="1338"/>
      <c r="FF37" s="1338"/>
      <c r="FG37" s="1338"/>
      <c r="FH37" s="1338"/>
      <c r="FI37" s="1338"/>
      <c r="FJ37" s="1338"/>
      <c r="FK37" s="1338"/>
      <c r="FL37" s="1338"/>
      <c r="FM37" s="1338"/>
      <c r="FN37" s="1338"/>
      <c r="FO37" s="1338"/>
      <c r="FP37" s="1338"/>
      <c r="FQ37" s="1338"/>
      <c r="FR37" s="1338"/>
      <c r="FS37" s="1338"/>
      <c r="FT37" s="1338"/>
      <c r="FU37" s="1338"/>
      <c r="FV37" s="1338"/>
      <c r="FW37" s="1338"/>
      <c r="FX37" s="1338"/>
      <c r="FY37" s="1338"/>
      <c r="FZ37" s="1338"/>
      <c r="GA37" s="242"/>
      <c r="GB37" s="243"/>
      <c r="GC37" s="1338"/>
      <c r="GD37" s="1338"/>
      <c r="GE37" s="1338"/>
      <c r="GF37" s="1338"/>
      <c r="GG37" s="1338"/>
      <c r="GH37" s="1338"/>
      <c r="GI37" s="1338"/>
      <c r="GJ37" s="1338"/>
      <c r="GK37" s="1338"/>
      <c r="GL37" s="1338"/>
      <c r="GM37" s="1338"/>
      <c r="GN37" s="1338"/>
      <c r="GO37" s="1338"/>
      <c r="GP37" s="1338"/>
      <c r="GQ37" s="1338"/>
      <c r="GR37" s="1338"/>
      <c r="GS37" s="1338"/>
      <c r="GT37" s="1338"/>
      <c r="GU37" s="1338"/>
      <c r="GV37" s="1338"/>
      <c r="GW37" s="1338"/>
      <c r="GX37" s="1338"/>
      <c r="GY37" s="242"/>
      <c r="GZ37" s="243"/>
      <c r="HA37" s="1338"/>
      <c r="HB37" s="1338"/>
      <c r="HC37" s="1338"/>
      <c r="HD37" s="1338"/>
      <c r="HE37" s="1338"/>
      <c r="HF37" s="1338"/>
      <c r="HG37" s="1338"/>
      <c r="HH37" s="1338"/>
      <c r="HI37" s="1338"/>
      <c r="HJ37" s="1338"/>
      <c r="HK37" s="1338"/>
      <c r="HL37" s="1338"/>
      <c r="HM37" s="1338"/>
      <c r="HN37" s="1338"/>
      <c r="HO37" s="1338"/>
      <c r="HP37" s="1338"/>
      <c r="HQ37" s="1338"/>
      <c r="HR37" s="1338"/>
      <c r="HS37" s="1338"/>
      <c r="HT37" s="1338"/>
      <c r="HU37" s="1338"/>
      <c r="HV37" s="1338"/>
      <c r="HW37" s="242"/>
      <c r="HX37" s="243"/>
      <c r="HY37" s="1338"/>
      <c r="HZ37" s="1338"/>
      <c r="IA37" s="1338"/>
      <c r="IB37" s="1338"/>
      <c r="IC37" s="1338"/>
      <c r="ID37" s="1338"/>
      <c r="IE37" s="1338"/>
      <c r="IF37" s="1338"/>
      <c r="IG37" s="1338"/>
      <c r="IH37" s="1338"/>
      <c r="II37" s="1338"/>
      <c r="IJ37" s="1338"/>
      <c r="IK37" s="1338"/>
      <c r="IL37" s="1338"/>
    </row>
    <row r="38" spans="1:246" s="244" customFormat="1" ht="37.5" customHeight="1" thickBot="1">
      <c r="A38" s="1117" t="s">
        <v>866</v>
      </c>
      <c r="B38" s="246" t="s">
        <v>382</v>
      </c>
      <c r="C38" s="247"/>
      <c r="D38" s="247"/>
      <c r="E38" s="248"/>
      <c r="F38" s="247"/>
      <c r="G38" s="248"/>
      <c r="H38" s="247"/>
      <c r="I38" s="248"/>
      <c r="J38" s="247"/>
      <c r="K38" s="248"/>
      <c r="L38" s="247"/>
      <c r="M38" s="249"/>
      <c r="N38" s="248"/>
      <c r="O38" s="250"/>
      <c r="P38" s="247"/>
      <c r="Q38" s="249"/>
      <c r="R38" s="248"/>
      <c r="S38" s="250"/>
      <c r="T38" s="247"/>
      <c r="U38" s="248"/>
      <c r="V38" s="239"/>
      <c r="W38" s="239"/>
      <c r="X38" s="239"/>
      <c r="Y38" s="239"/>
      <c r="Z38" s="239"/>
      <c r="AA38" s="240"/>
      <c r="AB38" s="240" t="s">
        <v>325</v>
      </c>
      <c r="AC38" s="240"/>
      <c r="AD38" s="240"/>
      <c r="AE38" s="240"/>
      <c r="AF38" s="240"/>
      <c r="AG38" s="251"/>
      <c r="AH38" s="251"/>
      <c r="AI38" s="251"/>
      <c r="AJ38" s="251"/>
      <c r="AK38" s="251"/>
      <c r="AL38" s="251"/>
      <c r="AM38" s="242"/>
      <c r="AN38" s="243"/>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42"/>
      <c r="BL38" s="243"/>
      <c r="BM38" s="251"/>
      <c r="BN38" s="251"/>
      <c r="BO38" s="251"/>
      <c r="BP38" s="251"/>
      <c r="BQ38" s="251"/>
      <c r="BR38" s="251"/>
      <c r="BS38" s="251"/>
      <c r="BT38" s="251"/>
      <c r="BU38" s="251"/>
      <c r="BV38" s="251"/>
      <c r="BW38" s="251"/>
      <c r="BX38" s="251"/>
      <c r="BY38" s="251"/>
      <c r="BZ38" s="251"/>
      <c r="CA38" s="251"/>
      <c r="CB38" s="251"/>
      <c r="CC38" s="251"/>
      <c r="CD38" s="251"/>
      <c r="CE38" s="251"/>
      <c r="CF38" s="251"/>
      <c r="CG38" s="251"/>
      <c r="CH38" s="251"/>
      <c r="CI38" s="242"/>
      <c r="CJ38" s="243"/>
      <c r="CK38" s="251"/>
      <c r="CL38" s="251"/>
      <c r="CM38" s="251"/>
      <c r="CN38" s="251"/>
      <c r="CO38" s="251"/>
      <c r="CP38" s="251"/>
      <c r="CQ38" s="251"/>
      <c r="CR38" s="251"/>
      <c r="CS38" s="251"/>
      <c r="CT38" s="251"/>
      <c r="CU38" s="251"/>
      <c r="CV38" s="251"/>
      <c r="CW38" s="251"/>
      <c r="CX38" s="251"/>
      <c r="CY38" s="251"/>
      <c r="CZ38" s="251"/>
      <c r="DA38" s="251"/>
      <c r="DB38" s="251"/>
      <c r="DC38" s="251"/>
      <c r="DD38" s="251"/>
      <c r="DE38" s="251"/>
      <c r="DF38" s="251"/>
      <c r="DG38" s="242"/>
      <c r="DH38" s="243"/>
      <c r="DI38" s="251"/>
      <c r="DJ38" s="251"/>
      <c r="DK38" s="251"/>
      <c r="DL38" s="251"/>
      <c r="DM38" s="251"/>
      <c r="DN38" s="251"/>
      <c r="DO38" s="251"/>
      <c r="DP38" s="251"/>
      <c r="DQ38" s="251"/>
      <c r="DR38" s="251"/>
      <c r="DS38" s="251"/>
      <c r="DT38" s="251"/>
      <c r="DU38" s="251"/>
      <c r="DV38" s="251"/>
      <c r="DW38" s="251"/>
      <c r="DX38" s="251"/>
      <c r="DY38" s="251"/>
      <c r="DZ38" s="251"/>
      <c r="EA38" s="251"/>
      <c r="EB38" s="251"/>
      <c r="EC38" s="251"/>
      <c r="ED38" s="251"/>
      <c r="EE38" s="242"/>
      <c r="EF38" s="243"/>
      <c r="EG38" s="251"/>
      <c r="EH38" s="251"/>
      <c r="EI38" s="251"/>
      <c r="EJ38" s="251"/>
      <c r="EK38" s="251"/>
      <c r="EL38" s="251"/>
      <c r="EM38" s="251"/>
      <c r="EN38" s="251"/>
      <c r="EO38" s="251"/>
      <c r="EP38" s="251"/>
      <c r="EQ38" s="251"/>
      <c r="ER38" s="251"/>
      <c r="ES38" s="251"/>
      <c r="ET38" s="251"/>
      <c r="EU38" s="251"/>
      <c r="EV38" s="251"/>
      <c r="EW38" s="251"/>
      <c r="EX38" s="251"/>
      <c r="EY38" s="251"/>
      <c r="EZ38" s="251"/>
      <c r="FA38" s="251"/>
      <c r="FB38" s="251"/>
      <c r="FC38" s="242"/>
      <c r="FD38" s="243"/>
      <c r="FE38" s="251"/>
      <c r="FF38" s="251"/>
      <c r="FG38" s="251"/>
      <c r="FH38" s="251"/>
      <c r="FI38" s="251"/>
      <c r="FJ38" s="251"/>
      <c r="FK38" s="251"/>
      <c r="FL38" s="251"/>
      <c r="FM38" s="251"/>
      <c r="FN38" s="251"/>
      <c r="FO38" s="251"/>
      <c r="FP38" s="251"/>
      <c r="FQ38" s="251"/>
      <c r="FR38" s="251"/>
      <c r="FS38" s="251"/>
      <c r="FT38" s="251"/>
      <c r="FU38" s="251"/>
      <c r="FV38" s="251"/>
      <c r="FW38" s="251"/>
      <c r="FX38" s="251"/>
      <c r="FY38" s="251"/>
      <c r="FZ38" s="251"/>
      <c r="GA38" s="242"/>
      <c r="GB38" s="243"/>
      <c r="GC38" s="251"/>
      <c r="GD38" s="251"/>
      <c r="GE38" s="251"/>
      <c r="GF38" s="251"/>
      <c r="GG38" s="251"/>
      <c r="GH38" s="251"/>
      <c r="GI38" s="251"/>
      <c r="GJ38" s="251"/>
      <c r="GK38" s="251"/>
      <c r="GL38" s="251"/>
      <c r="GM38" s="251"/>
      <c r="GN38" s="251"/>
      <c r="GO38" s="251"/>
      <c r="GP38" s="251"/>
      <c r="GQ38" s="251"/>
      <c r="GR38" s="251"/>
      <c r="GS38" s="251"/>
      <c r="GT38" s="251"/>
      <c r="GU38" s="251"/>
      <c r="GV38" s="251"/>
      <c r="GW38" s="251"/>
      <c r="GX38" s="251"/>
      <c r="GY38" s="242"/>
      <c r="GZ38" s="243"/>
      <c r="HA38" s="251"/>
      <c r="HB38" s="251"/>
      <c r="HC38" s="251"/>
      <c r="HD38" s="251"/>
      <c r="HE38" s="251"/>
      <c r="HF38" s="251"/>
      <c r="HG38" s="251"/>
      <c r="HH38" s="251"/>
      <c r="HI38" s="251"/>
      <c r="HJ38" s="251"/>
      <c r="HK38" s="251"/>
      <c r="HL38" s="251"/>
      <c r="HM38" s="251"/>
      <c r="HN38" s="251"/>
      <c r="HO38" s="251"/>
      <c r="HP38" s="251"/>
      <c r="HQ38" s="251"/>
      <c r="HR38" s="251"/>
      <c r="HS38" s="251"/>
      <c r="HT38" s="251"/>
      <c r="HU38" s="251"/>
      <c r="HV38" s="251"/>
      <c r="HW38" s="242"/>
      <c r="HX38" s="243"/>
      <c r="HY38" s="251"/>
      <c r="HZ38" s="251"/>
      <c r="IA38" s="251"/>
      <c r="IB38" s="251"/>
      <c r="IC38" s="251"/>
      <c r="ID38" s="251"/>
      <c r="IE38" s="251"/>
      <c r="IF38" s="251"/>
      <c r="IG38" s="251"/>
      <c r="IH38" s="251"/>
      <c r="II38" s="251"/>
      <c r="IJ38" s="251"/>
      <c r="IK38" s="251"/>
      <c r="IL38" s="251"/>
    </row>
    <row r="39" spans="1:32" s="256" customFormat="1" ht="25.5">
      <c r="A39" s="260"/>
      <c r="B39" s="376" t="s">
        <v>340</v>
      </c>
      <c r="C39" s="452">
        <v>378</v>
      </c>
      <c r="D39" s="452">
        <v>0</v>
      </c>
      <c r="E39" s="427"/>
      <c r="F39" s="452">
        <v>0</v>
      </c>
      <c r="G39" s="427"/>
      <c r="H39" s="452">
        <v>378</v>
      </c>
      <c r="I39" s="427"/>
      <c r="J39" s="452">
        <v>0</v>
      </c>
      <c r="K39" s="427"/>
      <c r="L39" s="1335"/>
      <c r="M39" s="1336"/>
      <c r="N39" s="1337"/>
      <c r="O39" s="1336"/>
      <c r="P39" s="1335"/>
      <c r="Q39" s="1336"/>
      <c r="R39" s="1337"/>
      <c r="S39" s="1336"/>
      <c r="T39" s="452"/>
      <c r="U39" s="427"/>
      <c r="V39" s="254"/>
      <c r="W39" s="254"/>
      <c r="X39" s="254"/>
      <c r="Y39" s="254"/>
      <c r="Z39" s="254"/>
      <c r="AA39" s="255"/>
      <c r="AB39" s="255"/>
      <c r="AC39" s="255"/>
      <c r="AD39" s="255"/>
      <c r="AE39" s="255"/>
      <c r="AF39" s="255"/>
    </row>
    <row r="40" spans="1:246" s="244" customFormat="1" ht="38.25" customHeight="1" thickBot="1">
      <c r="A40" s="1223" t="s">
        <v>867</v>
      </c>
      <c r="B40" s="238" t="s">
        <v>443</v>
      </c>
      <c r="C40" s="451"/>
      <c r="D40" s="451"/>
      <c r="E40" s="384"/>
      <c r="F40" s="451"/>
      <c r="G40" s="384"/>
      <c r="H40" s="451"/>
      <c r="I40" s="384"/>
      <c r="J40" s="451"/>
      <c r="K40" s="384"/>
      <c r="L40" s="1339"/>
      <c r="M40" s="1340"/>
      <c r="N40" s="1341"/>
      <c r="O40" s="1342"/>
      <c r="P40" s="1339"/>
      <c r="Q40" s="1340"/>
      <c r="R40" s="1341"/>
      <c r="S40" s="1342"/>
      <c r="T40" s="451"/>
      <c r="U40" s="384"/>
      <c r="V40" s="239"/>
      <c r="W40" s="239"/>
      <c r="X40" s="239"/>
      <c r="Y40" s="239"/>
      <c r="Z40" s="239"/>
      <c r="AA40" s="240"/>
      <c r="AB40" s="240"/>
      <c r="AC40" s="240" t="s">
        <v>325</v>
      </c>
      <c r="AD40" s="240"/>
      <c r="AE40" s="240"/>
      <c r="AF40" s="240"/>
      <c r="AG40" s="1338"/>
      <c r="AH40" s="1338"/>
      <c r="AI40" s="1338"/>
      <c r="AJ40" s="1338"/>
      <c r="AK40" s="1338"/>
      <c r="AL40" s="1338"/>
      <c r="AM40" s="242"/>
      <c r="AN40" s="243"/>
      <c r="AO40" s="1338"/>
      <c r="AP40" s="1338"/>
      <c r="AQ40" s="1338"/>
      <c r="AR40" s="1338"/>
      <c r="AS40" s="1338"/>
      <c r="AT40" s="1338"/>
      <c r="AU40" s="1338"/>
      <c r="AV40" s="1338"/>
      <c r="AW40" s="1338"/>
      <c r="AX40" s="1338"/>
      <c r="AY40" s="1338"/>
      <c r="AZ40" s="1338"/>
      <c r="BA40" s="1338"/>
      <c r="BB40" s="1338"/>
      <c r="BC40" s="1338"/>
      <c r="BD40" s="1338"/>
      <c r="BE40" s="1338"/>
      <c r="BF40" s="1338"/>
      <c r="BG40" s="1338"/>
      <c r="BH40" s="1338"/>
      <c r="BI40" s="1338"/>
      <c r="BJ40" s="1338"/>
      <c r="BK40" s="242"/>
      <c r="BL40" s="243"/>
      <c r="BM40" s="1338"/>
      <c r="BN40" s="1338"/>
      <c r="BO40" s="1338"/>
      <c r="BP40" s="1338"/>
      <c r="BQ40" s="1338"/>
      <c r="BR40" s="1338"/>
      <c r="BS40" s="1338"/>
      <c r="BT40" s="1338"/>
      <c r="BU40" s="1338"/>
      <c r="BV40" s="1338"/>
      <c r="BW40" s="1338"/>
      <c r="BX40" s="1338"/>
      <c r="BY40" s="1338"/>
      <c r="BZ40" s="1338"/>
      <c r="CA40" s="1338"/>
      <c r="CB40" s="1338"/>
      <c r="CC40" s="1338"/>
      <c r="CD40" s="1338"/>
      <c r="CE40" s="1338"/>
      <c r="CF40" s="1338"/>
      <c r="CG40" s="1338"/>
      <c r="CH40" s="1338"/>
      <c r="CI40" s="242"/>
      <c r="CJ40" s="243"/>
      <c r="CK40" s="1338"/>
      <c r="CL40" s="1338"/>
      <c r="CM40" s="1338"/>
      <c r="CN40" s="1338"/>
      <c r="CO40" s="1338"/>
      <c r="CP40" s="1338"/>
      <c r="CQ40" s="1338"/>
      <c r="CR40" s="1338"/>
      <c r="CS40" s="1338"/>
      <c r="CT40" s="1338"/>
      <c r="CU40" s="1338"/>
      <c r="CV40" s="1338"/>
      <c r="CW40" s="1338"/>
      <c r="CX40" s="1338"/>
      <c r="CY40" s="1338"/>
      <c r="CZ40" s="1338"/>
      <c r="DA40" s="1338"/>
      <c r="DB40" s="1338"/>
      <c r="DC40" s="1338"/>
      <c r="DD40" s="1338"/>
      <c r="DE40" s="1338"/>
      <c r="DF40" s="1338"/>
      <c r="DG40" s="242"/>
      <c r="DH40" s="243"/>
      <c r="DI40" s="1338"/>
      <c r="DJ40" s="1338"/>
      <c r="DK40" s="1338"/>
      <c r="DL40" s="1338"/>
      <c r="DM40" s="1338"/>
      <c r="DN40" s="1338"/>
      <c r="DO40" s="1338"/>
      <c r="DP40" s="1338"/>
      <c r="DQ40" s="1338"/>
      <c r="DR40" s="1338"/>
      <c r="DS40" s="1338"/>
      <c r="DT40" s="1338"/>
      <c r="DU40" s="1338"/>
      <c r="DV40" s="1338"/>
      <c r="DW40" s="1338"/>
      <c r="DX40" s="1338"/>
      <c r="DY40" s="1338"/>
      <c r="DZ40" s="1338"/>
      <c r="EA40" s="1338"/>
      <c r="EB40" s="1338"/>
      <c r="EC40" s="1338"/>
      <c r="ED40" s="1338"/>
      <c r="EE40" s="242"/>
      <c r="EF40" s="243"/>
      <c r="EG40" s="1338"/>
      <c r="EH40" s="1338"/>
      <c r="EI40" s="1338"/>
      <c r="EJ40" s="1338"/>
      <c r="EK40" s="1338"/>
      <c r="EL40" s="1338"/>
      <c r="EM40" s="1338"/>
      <c r="EN40" s="1338"/>
      <c r="EO40" s="1338"/>
      <c r="EP40" s="1338"/>
      <c r="EQ40" s="1338"/>
      <c r="ER40" s="1338"/>
      <c r="ES40" s="1338"/>
      <c r="ET40" s="1338"/>
      <c r="EU40" s="1338"/>
      <c r="EV40" s="1338"/>
      <c r="EW40" s="1338"/>
      <c r="EX40" s="1338"/>
      <c r="EY40" s="1338"/>
      <c r="EZ40" s="1338"/>
      <c r="FA40" s="1338"/>
      <c r="FB40" s="1338"/>
      <c r="FC40" s="242"/>
      <c r="FD40" s="243"/>
      <c r="FE40" s="1338"/>
      <c r="FF40" s="1338"/>
      <c r="FG40" s="1338"/>
      <c r="FH40" s="1338"/>
      <c r="FI40" s="1338"/>
      <c r="FJ40" s="1338"/>
      <c r="FK40" s="1338"/>
      <c r="FL40" s="1338"/>
      <c r="FM40" s="1338"/>
      <c r="FN40" s="1338"/>
      <c r="FO40" s="1338"/>
      <c r="FP40" s="1338"/>
      <c r="FQ40" s="1338"/>
      <c r="FR40" s="1338"/>
      <c r="FS40" s="1338"/>
      <c r="FT40" s="1338"/>
      <c r="FU40" s="1338"/>
      <c r="FV40" s="1338"/>
      <c r="FW40" s="1338"/>
      <c r="FX40" s="1338"/>
      <c r="FY40" s="1338"/>
      <c r="FZ40" s="1338"/>
      <c r="GA40" s="242"/>
      <c r="GB40" s="243"/>
      <c r="GC40" s="1338"/>
      <c r="GD40" s="1338"/>
      <c r="GE40" s="1338"/>
      <c r="GF40" s="1338"/>
      <c r="GG40" s="1338"/>
      <c r="GH40" s="1338"/>
      <c r="GI40" s="1338"/>
      <c r="GJ40" s="1338"/>
      <c r="GK40" s="1338"/>
      <c r="GL40" s="1338"/>
      <c r="GM40" s="1338"/>
      <c r="GN40" s="1338"/>
      <c r="GO40" s="1338"/>
      <c r="GP40" s="1338"/>
      <c r="GQ40" s="1338"/>
      <c r="GR40" s="1338"/>
      <c r="GS40" s="1338"/>
      <c r="GT40" s="1338"/>
      <c r="GU40" s="1338"/>
      <c r="GV40" s="1338"/>
      <c r="GW40" s="1338"/>
      <c r="GX40" s="1338"/>
      <c r="GY40" s="242"/>
      <c r="GZ40" s="243"/>
      <c r="HA40" s="1338"/>
      <c r="HB40" s="1338"/>
      <c r="HC40" s="1338"/>
      <c r="HD40" s="1338"/>
      <c r="HE40" s="1338"/>
      <c r="HF40" s="1338"/>
      <c r="HG40" s="1338"/>
      <c r="HH40" s="1338"/>
      <c r="HI40" s="1338"/>
      <c r="HJ40" s="1338"/>
      <c r="HK40" s="1338"/>
      <c r="HL40" s="1338"/>
      <c r="HM40" s="1338"/>
      <c r="HN40" s="1338"/>
      <c r="HO40" s="1338"/>
      <c r="HP40" s="1338"/>
      <c r="HQ40" s="1338"/>
      <c r="HR40" s="1338"/>
      <c r="HS40" s="1338"/>
      <c r="HT40" s="1338"/>
      <c r="HU40" s="1338"/>
      <c r="HV40" s="1338"/>
      <c r="HW40" s="242"/>
      <c r="HX40" s="243"/>
      <c r="HY40" s="1338"/>
      <c r="HZ40" s="1338"/>
      <c r="IA40" s="1338"/>
      <c r="IB40" s="1338"/>
      <c r="IC40" s="1338"/>
      <c r="ID40" s="1338"/>
      <c r="IE40" s="1338"/>
      <c r="IF40" s="1338"/>
      <c r="IG40" s="1338"/>
      <c r="IH40" s="1338"/>
      <c r="II40" s="1338"/>
      <c r="IJ40" s="1338"/>
      <c r="IK40" s="1338"/>
      <c r="IL40" s="1338"/>
    </row>
    <row r="41" spans="1:32" s="256" customFormat="1" ht="76.5">
      <c r="A41" s="1229"/>
      <c r="B41" s="253" t="s">
        <v>341</v>
      </c>
      <c r="C41" s="273">
        <v>0.99</v>
      </c>
      <c r="D41" s="273">
        <v>0</v>
      </c>
      <c r="E41" s="230"/>
      <c r="F41" s="273">
        <v>0</v>
      </c>
      <c r="G41" s="1188"/>
      <c r="H41" s="273">
        <v>0.99</v>
      </c>
      <c r="I41" s="230"/>
      <c r="J41" s="273">
        <v>0</v>
      </c>
      <c r="K41" s="230"/>
      <c r="L41" s="1335"/>
      <c r="M41" s="1336"/>
      <c r="N41" s="1363"/>
      <c r="O41" s="1336"/>
      <c r="P41" s="1335"/>
      <c r="Q41" s="1336"/>
      <c r="R41" s="1363"/>
      <c r="S41" s="1336"/>
      <c r="T41" s="273"/>
      <c r="U41" s="230"/>
      <c r="V41" s="254"/>
      <c r="W41" s="254"/>
      <c r="X41" s="254"/>
      <c r="Y41" s="254"/>
      <c r="Z41" s="254"/>
      <c r="AA41" s="255"/>
      <c r="AB41" s="255"/>
      <c r="AC41" s="255"/>
      <c r="AD41" s="255"/>
      <c r="AE41" s="255"/>
      <c r="AF41" s="1152" t="s">
        <v>1353</v>
      </c>
    </row>
    <row r="42" spans="1:32" s="256" customFormat="1" ht="25.5">
      <c r="A42" s="1224" t="s">
        <v>868</v>
      </c>
      <c r="B42" s="265" t="s">
        <v>444</v>
      </c>
      <c r="C42" s="274"/>
      <c r="D42" s="274"/>
      <c r="E42" s="248"/>
      <c r="F42" s="274"/>
      <c r="G42" s="248"/>
      <c r="H42" s="274"/>
      <c r="I42" s="248"/>
      <c r="J42" s="274"/>
      <c r="K42" s="248"/>
      <c r="L42" s="261"/>
      <c r="M42" s="262"/>
      <c r="N42" s="263"/>
      <c r="O42" s="262"/>
      <c r="P42" s="261"/>
      <c r="Q42" s="262"/>
      <c r="R42" s="263"/>
      <c r="S42" s="262"/>
      <c r="T42" s="274"/>
      <c r="U42" s="248"/>
      <c r="V42" s="254"/>
      <c r="W42" s="254"/>
      <c r="X42" s="254"/>
      <c r="Y42" s="254"/>
      <c r="Z42" s="254"/>
      <c r="AA42" s="255"/>
      <c r="AB42" s="255"/>
      <c r="AC42" s="255" t="s">
        <v>325</v>
      </c>
      <c r="AD42" s="255"/>
      <c r="AE42" s="255"/>
      <c r="AF42" s="255"/>
    </row>
    <row r="43" spans="1:32" s="256" customFormat="1" ht="25.5">
      <c r="A43" s="267"/>
      <c r="B43" s="253" t="s">
        <v>342</v>
      </c>
      <c r="C43" s="428">
        <v>24</v>
      </c>
      <c r="D43" s="428">
        <v>0</v>
      </c>
      <c r="E43" s="430"/>
      <c r="F43" s="428">
        <v>0</v>
      </c>
      <c r="G43" s="430"/>
      <c r="H43" s="428">
        <v>24</v>
      </c>
      <c r="I43" s="430"/>
      <c r="J43" s="428"/>
      <c r="K43" s="430"/>
      <c r="L43" s="1354"/>
      <c r="M43" s="1355"/>
      <c r="N43" s="1356"/>
      <c r="O43" s="1355"/>
      <c r="P43" s="1354"/>
      <c r="Q43" s="1355"/>
      <c r="R43" s="1356"/>
      <c r="S43" s="1355"/>
      <c r="T43" s="428"/>
      <c r="U43" s="430"/>
      <c r="V43" s="254"/>
      <c r="W43" s="254"/>
      <c r="X43" s="254"/>
      <c r="Y43" s="254"/>
      <c r="Z43" s="254"/>
      <c r="AA43" s="255"/>
      <c r="AB43" s="255"/>
      <c r="AC43" s="255"/>
      <c r="AD43" s="255"/>
      <c r="AE43" s="255"/>
      <c r="AF43" s="255"/>
    </row>
    <row r="44" spans="1:32" s="256" customFormat="1" ht="38.25">
      <c r="A44" s="1321" t="s">
        <v>1191</v>
      </c>
      <c r="B44" s="1213" t="s">
        <v>386</v>
      </c>
      <c r="C44" s="1202"/>
      <c r="D44" s="1202"/>
      <c r="E44" s="1165"/>
      <c r="F44" s="1202"/>
      <c r="G44" s="1165"/>
      <c r="H44" s="1202"/>
      <c r="I44" s="1165"/>
      <c r="J44" s="1202"/>
      <c r="K44" s="1165"/>
      <c r="L44" s="1202"/>
      <c r="M44" s="1203"/>
      <c r="N44" s="1204"/>
      <c r="O44" s="1203"/>
      <c r="P44" s="1202"/>
      <c r="Q44" s="1203"/>
      <c r="R44" s="1204"/>
      <c r="S44" s="1203"/>
      <c r="T44" s="1202"/>
      <c r="U44" s="1165"/>
      <c r="V44" s="1168"/>
      <c r="W44" s="1168"/>
      <c r="X44" s="1168"/>
      <c r="Y44" s="1168"/>
      <c r="Z44" s="1168"/>
      <c r="AA44" s="1169"/>
      <c r="AB44" s="1169"/>
      <c r="AC44" s="1169" t="s">
        <v>325</v>
      </c>
      <c r="AD44" s="1169"/>
      <c r="AE44" s="1169"/>
      <c r="AF44" s="1169"/>
    </row>
    <row r="45" spans="1:32" s="259" customFormat="1" ht="38.25">
      <c r="A45" s="1322"/>
      <c r="B45" s="1214" t="s">
        <v>343</v>
      </c>
      <c r="C45" s="1205">
        <v>1</v>
      </c>
      <c r="D45" s="1205">
        <v>0</v>
      </c>
      <c r="E45" s="1206">
        <v>1</v>
      </c>
      <c r="F45" s="1205">
        <v>0</v>
      </c>
      <c r="G45" s="1207"/>
      <c r="H45" s="1205">
        <v>0.8</v>
      </c>
      <c r="I45" s="1207"/>
      <c r="J45" s="1205">
        <v>1</v>
      </c>
      <c r="K45" s="1208"/>
      <c r="L45" s="1370"/>
      <c r="M45" s="1371"/>
      <c r="N45" s="1372"/>
      <c r="O45" s="1373"/>
      <c r="P45" s="1370"/>
      <c r="Q45" s="1371"/>
      <c r="R45" s="1372"/>
      <c r="S45" s="1373"/>
      <c r="T45" s="1209"/>
      <c r="U45" s="1208"/>
      <c r="V45" s="1210"/>
      <c r="W45" s="1210"/>
      <c r="X45" s="1210"/>
      <c r="Y45" s="1210"/>
      <c r="Z45" s="1210"/>
      <c r="AA45" s="1211"/>
      <c r="AB45" s="1211"/>
      <c r="AC45" s="1211"/>
      <c r="AD45" s="1211"/>
      <c r="AE45" s="1211"/>
      <c r="AF45" s="1211"/>
    </row>
    <row r="46" spans="1:32" s="256" customFormat="1" ht="51">
      <c r="A46" s="1226" t="s">
        <v>1384</v>
      </c>
      <c r="B46" s="246" t="s">
        <v>387</v>
      </c>
      <c r="C46" s="272"/>
      <c r="D46" s="272"/>
      <c r="E46" s="455"/>
      <c r="F46" s="272"/>
      <c r="G46" s="455"/>
      <c r="H46" s="272"/>
      <c r="I46" s="455"/>
      <c r="J46" s="272"/>
      <c r="K46" s="455"/>
      <c r="L46" s="454"/>
      <c r="M46" s="456"/>
      <c r="N46" s="455"/>
      <c r="O46" s="457"/>
      <c r="P46" s="454"/>
      <c r="Q46" s="456"/>
      <c r="R46" s="455"/>
      <c r="S46" s="457"/>
      <c r="T46" s="272"/>
      <c r="U46" s="455"/>
      <c r="V46" s="254"/>
      <c r="W46" s="254"/>
      <c r="X46" s="254"/>
      <c r="Y46" s="254"/>
      <c r="Z46" s="254"/>
      <c r="AA46" s="255"/>
      <c r="AB46" s="255"/>
      <c r="AC46" s="255" t="s">
        <v>325</v>
      </c>
      <c r="AD46" s="255"/>
      <c r="AE46" s="255"/>
      <c r="AF46" s="255"/>
    </row>
    <row r="47" spans="1:32" s="256" customFormat="1" ht="68.25" customHeight="1">
      <c r="A47" s="957"/>
      <c r="B47" s="958" t="s">
        <v>1190</v>
      </c>
      <c r="C47" s="272">
        <v>1</v>
      </c>
      <c r="D47" s="272">
        <v>0</v>
      </c>
      <c r="E47" s="455"/>
      <c r="F47" s="272">
        <v>0</v>
      </c>
      <c r="G47" s="455"/>
      <c r="H47" s="272">
        <v>1</v>
      </c>
      <c r="I47" s="455"/>
      <c r="J47" s="272">
        <v>0</v>
      </c>
      <c r="K47" s="455"/>
      <c r="L47" s="1364"/>
      <c r="M47" s="1368"/>
      <c r="N47" s="1366"/>
      <c r="O47" s="1369"/>
      <c r="P47" s="1364"/>
      <c r="Q47" s="1368"/>
      <c r="R47" s="1366"/>
      <c r="S47" s="1369"/>
      <c r="T47" s="272"/>
      <c r="U47" s="455"/>
      <c r="V47" s="254"/>
      <c r="W47" s="254"/>
      <c r="X47" s="254"/>
      <c r="Y47" s="254"/>
      <c r="Z47" s="254"/>
      <c r="AA47" s="255"/>
      <c r="AB47" s="255"/>
      <c r="AC47" s="255"/>
      <c r="AD47" s="255"/>
      <c r="AE47" s="255"/>
      <c r="AF47" s="255"/>
    </row>
    <row r="48" spans="1:246" s="244" customFormat="1" ht="30" customHeight="1">
      <c r="A48" s="965" t="s">
        <v>1413</v>
      </c>
      <c r="B48" s="803" t="s">
        <v>388</v>
      </c>
      <c r="C48" s="804"/>
      <c r="D48" s="804"/>
      <c r="E48" s="802"/>
      <c r="F48" s="804"/>
      <c r="G48" s="802"/>
      <c r="H48" s="804"/>
      <c r="I48" s="802"/>
      <c r="J48" s="804"/>
      <c r="K48" s="802"/>
      <c r="L48" s="1374"/>
      <c r="M48" s="1375"/>
      <c r="N48" s="1376"/>
      <c r="O48" s="1377"/>
      <c r="P48" s="1374"/>
      <c r="Q48" s="1375"/>
      <c r="R48" s="1376"/>
      <c r="S48" s="1377"/>
      <c r="T48" s="804"/>
      <c r="U48" s="805"/>
      <c r="V48" s="239"/>
      <c r="W48" s="239"/>
      <c r="X48" s="239"/>
      <c r="Y48" s="239"/>
      <c r="Z48" s="239"/>
      <c r="AA48" s="240"/>
      <c r="AB48" s="240"/>
      <c r="AC48" s="240"/>
      <c r="AD48" s="240" t="s">
        <v>325</v>
      </c>
      <c r="AE48" s="240"/>
      <c r="AF48" s="240"/>
      <c r="AG48" s="1338"/>
      <c r="AH48" s="1338"/>
      <c r="AI48" s="1338"/>
      <c r="AJ48" s="1338"/>
      <c r="AK48" s="1338"/>
      <c r="AL48" s="1338"/>
      <c r="AM48" s="242"/>
      <c r="AN48" s="243"/>
      <c r="AO48" s="1338"/>
      <c r="AP48" s="1338"/>
      <c r="AQ48" s="1338"/>
      <c r="AR48" s="1338"/>
      <c r="AS48" s="1338"/>
      <c r="AT48" s="1338"/>
      <c r="AU48" s="1338"/>
      <c r="AV48" s="1338"/>
      <c r="AW48" s="1338"/>
      <c r="AX48" s="1338"/>
      <c r="AY48" s="1338"/>
      <c r="AZ48" s="1338"/>
      <c r="BA48" s="1338"/>
      <c r="BB48" s="1338"/>
      <c r="BC48" s="1338"/>
      <c r="BD48" s="1338"/>
      <c r="BE48" s="1338"/>
      <c r="BF48" s="1338"/>
      <c r="BG48" s="1338"/>
      <c r="BH48" s="1338"/>
      <c r="BI48" s="1338"/>
      <c r="BJ48" s="1338"/>
      <c r="BK48" s="242"/>
      <c r="BL48" s="243"/>
      <c r="BM48" s="1338"/>
      <c r="BN48" s="1338"/>
      <c r="BO48" s="1338"/>
      <c r="BP48" s="1338"/>
      <c r="BQ48" s="1338"/>
      <c r="BR48" s="1338"/>
      <c r="BS48" s="1338"/>
      <c r="BT48" s="1338"/>
      <c r="BU48" s="1338"/>
      <c r="BV48" s="1338"/>
      <c r="BW48" s="1338"/>
      <c r="BX48" s="1338"/>
      <c r="BY48" s="1338"/>
      <c r="BZ48" s="1338"/>
      <c r="CA48" s="1338"/>
      <c r="CB48" s="1338"/>
      <c r="CC48" s="1338"/>
      <c r="CD48" s="1338"/>
      <c r="CE48" s="1338"/>
      <c r="CF48" s="1338"/>
      <c r="CG48" s="1338"/>
      <c r="CH48" s="1338"/>
      <c r="CI48" s="242"/>
      <c r="CJ48" s="243"/>
      <c r="CK48" s="1338"/>
      <c r="CL48" s="1338"/>
      <c r="CM48" s="1338"/>
      <c r="CN48" s="1338"/>
      <c r="CO48" s="1338"/>
      <c r="CP48" s="1338"/>
      <c r="CQ48" s="1338"/>
      <c r="CR48" s="1338"/>
      <c r="CS48" s="1338"/>
      <c r="CT48" s="1338"/>
      <c r="CU48" s="1338"/>
      <c r="CV48" s="1338"/>
      <c r="CW48" s="1338"/>
      <c r="CX48" s="1338"/>
      <c r="CY48" s="1338"/>
      <c r="CZ48" s="1338"/>
      <c r="DA48" s="1338"/>
      <c r="DB48" s="1338"/>
      <c r="DC48" s="1338"/>
      <c r="DD48" s="1338"/>
      <c r="DE48" s="1338"/>
      <c r="DF48" s="1338"/>
      <c r="DG48" s="242"/>
      <c r="DH48" s="243"/>
      <c r="DI48" s="1338"/>
      <c r="DJ48" s="1338"/>
      <c r="DK48" s="1338"/>
      <c r="DL48" s="1338"/>
      <c r="DM48" s="1338"/>
      <c r="DN48" s="1338"/>
      <c r="DO48" s="1338"/>
      <c r="DP48" s="1338"/>
      <c r="DQ48" s="1338"/>
      <c r="DR48" s="1338"/>
      <c r="DS48" s="1338"/>
      <c r="DT48" s="1338"/>
      <c r="DU48" s="1338"/>
      <c r="DV48" s="1338"/>
      <c r="DW48" s="1338"/>
      <c r="DX48" s="1338"/>
      <c r="DY48" s="1338"/>
      <c r="DZ48" s="1338"/>
      <c r="EA48" s="1338"/>
      <c r="EB48" s="1338"/>
      <c r="EC48" s="1338"/>
      <c r="ED48" s="1338"/>
      <c r="EE48" s="242"/>
      <c r="EF48" s="243"/>
      <c r="EG48" s="1338"/>
      <c r="EH48" s="1338"/>
      <c r="EI48" s="1338"/>
      <c r="EJ48" s="1338"/>
      <c r="EK48" s="1338"/>
      <c r="EL48" s="1338"/>
      <c r="EM48" s="1338"/>
      <c r="EN48" s="1338"/>
      <c r="EO48" s="1338"/>
      <c r="EP48" s="1338"/>
      <c r="EQ48" s="1338"/>
      <c r="ER48" s="1338"/>
      <c r="ES48" s="1338"/>
      <c r="ET48" s="1338"/>
      <c r="EU48" s="1338"/>
      <c r="EV48" s="1338"/>
      <c r="EW48" s="1338"/>
      <c r="EX48" s="1338"/>
      <c r="EY48" s="1338"/>
      <c r="EZ48" s="1338"/>
      <c r="FA48" s="1338"/>
      <c r="FB48" s="1338"/>
      <c r="FC48" s="242"/>
      <c r="FD48" s="243"/>
      <c r="FE48" s="1338"/>
      <c r="FF48" s="1338"/>
      <c r="FG48" s="1338"/>
      <c r="FH48" s="1338"/>
      <c r="FI48" s="1338"/>
      <c r="FJ48" s="1338"/>
      <c r="FK48" s="1338"/>
      <c r="FL48" s="1338"/>
      <c r="FM48" s="1338"/>
      <c r="FN48" s="1338"/>
      <c r="FO48" s="1338"/>
      <c r="FP48" s="1338"/>
      <c r="FQ48" s="1338"/>
      <c r="FR48" s="1338"/>
      <c r="FS48" s="1338"/>
      <c r="FT48" s="1338"/>
      <c r="FU48" s="1338"/>
      <c r="FV48" s="1338"/>
      <c r="FW48" s="1338"/>
      <c r="FX48" s="1338"/>
      <c r="FY48" s="1338"/>
      <c r="FZ48" s="1338"/>
      <c r="GA48" s="242"/>
      <c r="GB48" s="243"/>
      <c r="GC48" s="1338"/>
      <c r="GD48" s="1338"/>
      <c r="GE48" s="1338"/>
      <c r="GF48" s="1338"/>
      <c r="GG48" s="1338"/>
      <c r="GH48" s="1338"/>
      <c r="GI48" s="1338"/>
      <c r="GJ48" s="1338"/>
      <c r="GK48" s="1338"/>
      <c r="GL48" s="1338"/>
      <c r="GM48" s="1338"/>
      <c r="GN48" s="1338"/>
      <c r="GO48" s="1338"/>
      <c r="GP48" s="1338"/>
      <c r="GQ48" s="1338"/>
      <c r="GR48" s="1338"/>
      <c r="GS48" s="1338"/>
      <c r="GT48" s="1338"/>
      <c r="GU48" s="1338"/>
      <c r="GV48" s="1338"/>
      <c r="GW48" s="1338"/>
      <c r="GX48" s="1338"/>
      <c r="GY48" s="242"/>
      <c r="GZ48" s="243"/>
      <c r="HA48" s="1338"/>
      <c r="HB48" s="1338"/>
      <c r="HC48" s="1338"/>
      <c r="HD48" s="1338"/>
      <c r="HE48" s="1338"/>
      <c r="HF48" s="1338"/>
      <c r="HG48" s="1338"/>
      <c r="HH48" s="1338"/>
      <c r="HI48" s="1338"/>
      <c r="HJ48" s="1338"/>
      <c r="HK48" s="1338"/>
      <c r="HL48" s="1338"/>
      <c r="HM48" s="1338"/>
      <c r="HN48" s="1338"/>
      <c r="HO48" s="1338"/>
      <c r="HP48" s="1338"/>
      <c r="HQ48" s="1338"/>
      <c r="HR48" s="1338"/>
      <c r="HS48" s="1338"/>
      <c r="HT48" s="1338"/>
      <c r="HU48" s="1338"/>
      <c r="HV48" s="1338"/>
      <c r="HW48" s="242"/>
      <c r="HX48" s="243"/>
      <c r="HY48" s="1338"/>
      <c r="HZ48" s="1338"/>
      <c r="IA48" s="1338"/>
      <c r="IB48" s="1338"/>
      <c r="IC48" s="1338"/>
      <c r="ID48" s="1338"/>
      <c r="IE48" s="1338"/>
      <c r="IF48" s="1338"/>
      <c r="IG48" s="1338"/>
      <c r="IH48" s="1338"/>
      <c r="II48" s="1338"/>
      <c r="IJ48" s="1338"/>
      <c r="IK48" s="1338"/>
      <c r="IL48" s="1338"/>
    </row>
    <row r="49" spans="1:32" s="256" customFormat="1" ht="63.75">
      <c r="A49" s="1228"/>
      <c r="B49" s="963" t="s">
        <v>345</v>
      </c>
      <c r="C49" s="274">
        <v>1</v>
      </c>
      <c r="D49" s="274">
        <v>0</v>
      </c>
      <c r="E49" s="263"/>
      <c r="F49" s="274">
        <v>0</v>
      </c>
      <c r="G49" s="263"/>
      <c r="H49" s="274">
        <v>0</v>
      </c>
      <c r="I49" s="263"/>
      <c r="J49" s="274">
        <v>1</v>
      </c>
      <c r="K49" s="263"/>
      <c r="L49" s="1378"/>
      <c r="M49" s="1379"/>
      <c r="N49" s="1380"/>
      <c r="O49" s="1379"/>
      <c r="P49" s="1378"/>
      <c r="Q49" s="1379"/>
      <c r="R49" s="1380"/>
      <c r="S49" s="1379"/>
      <c r="T49" s="274"/>
      <c r="U49" s="263"/>
      <c r="V49" s="254"/>
      <c r="W49" s="254"/>
      <c r="X49" s="254"/>
      <c r="Y49" s="254"/>
      <c r="Z49" s="254"/>
      <c r="AA49" s="255"/>
      <c r="AB49" s="255"/>
      <c r="AC49" s="255"/>
      <c r="AD49" s="255"/>
      <c r="AE49" s="255"/>
      <c r="AF49" s="1113" t="s">
        <v>1181</v>
      </c>
    </row>
    <row r="50" spans="1:32" s="256" customFormat="1" ht="25.5">
      <c r="A50" s="1224" t="s">
        <v>1414</v>
      </c>
      <c r="B50" s="265" t="s">
        <v>389</v>
      </c>
      <c r="C50" s="274"/>
      <c r="D50" s="274"/>
      <c r="E50" s="248"/>
      <c r="F50" s="274"/>
      <c r="G50" s="248"/>
      <c r="H50" s="274"/>
      <c r="I50" s="248"/>
      <c r="J50" s="274"/>
      <c r="K50" s="248"/>
      <c r="L50" s="261"/>
      <c r="M50" s="262"/>
      <c r="N50" s="263"/>
      <c r="O50" s="262"/>
      <c r="P50" s="261"/>
      <c r="Q50" s="262"/>
      <c r="R50" s="263"/>
      <c r="S50" s="262"/>
      <c r="T50" s="274"/>
      <c r="U50" s="248"/>
      <c r="V50" s="254"/>
      <c r="W50" s="254"/>
      <c r="X50" s="254"/>
      <c r="Y50" s="254"/>
      <c r="Z50" s="254"/>
      <c r="AA50" s="255"/>
      <c r="AB50" s="255"/>
      <c r="AC50" s="255"/>
      <c r="AD50" s="255" t="s">
        <v>325</v>
      </c>
      <c r="AE50" s="255"/>
      <c r="AF50" s="255"/>
    </row>
    <row r="51" spans="1:32" s="256" customFormat="1" ht="38.25">
      <c r="A51" s="267"/>
      <c r="B51" s="253" t="s">
        <v>346</v>
      </c>
      <c r="C51" s="428">
        <v>6</v>
      </c>
      <c r="D51" s="428">
        <v>0</v>
      </c>
      <c r="E51" s="430"/>
      <c r="F51" s="428">
        <v>0</v>
      </c>
      <c r="G51" s="430"/>
      <c r="H51" s="428">
        <v>6</v>
      </c>
      <c r="I51" s="430"/>
      <c r="J51" s="428">
        <v>0</v>
      </c>
      <c r="K51" s="430"/>
      <c r="L51" s="1354"/>
      <c r="M51" s="1355"/>
      <c r="N51" s="1356"/>
      <c r="O51" s="1355"/>
      <c r="P51" s="1354"/>
      <c r="Q51" s="1355"/>
      <c r="R51" s="1356"/>
      <c r="S51" s="1355"/>
      <c r="T51" s="428"/>
      <c r="U51" s="430"/>
      <c r="V51" s="254"/>
      <c r="W51" s="254"/>
      <c r="X51" s="254"/>
      <c r="Y51" s="254"/>
      <c r="Z51" s="254"/>
      <c r="AA51" s="255"/>
      <c r="AB51" s="255"/>
      <c r="AC51" s="255"/>
      <c r="AD51" s="255"/>
      <c r="AE51" s="255"/>
      <c r="AF51" s="255"/>
    </row>
    <row r="52" spans="1:32" s="256" customFormat="1" ht="25.5">
      <c r="A52" s="1225" t="s">
        <v>1415</v>
      </c>
      <c r="B52" s="265" t="s">
        <v>390</v>
      </c>
      <c r="C52" s="807"/>
      <c r="D52" s="807"/>
      <c r="E52" s="248"/>
      <c r="F52" s="807"/>
      <c r="G52" s="248"/>
      <c r="H52" s="807"/>
      <c r="I52" s="248"/>
      <c r="J52" s="807"/>
      <c r="K52" s="248"/>
      <c r="L52" s="428"/>
      <c r="M52" s="429"/>
      <c r="N52" s="430"/>
      <c r="O52" s="429"/>
      <c r="P52" s="428"/>
      <c r="Q52" s="429"/>
      <c r="R52" s="430"/>
      <c r="S52" s="429"/>
      <c r="T52" s="428"/>
      <c r="U52" s="248"/>
      <c r="V52" s="254"/>
      <c r="W52" s="254"/>
      <c r="X52" s="254"/>
      <c r="Y52" s="254"/>
      <c r="Z52" s="254"/>
      <c r="AA52" s="255"/>
      <c r="AB52" s="255"/>
      <c r="AC52" s="255"/>
      <c r="AD52" s="255" t="s">
        <v>325</v>
      </c>
      <c r="AE52" s="255"/>
      <c r="AF52" s="255"/>
    </row>
    <row r="53" spans="1:32" s="256" customFormat="1" ht="38.25">
      <c r="A53" s="267"/>
      <c r="B53" s="963" t="s">
        <v>347</v>
      </c>
      <c r="C53" s="808">
        <v>1</v>
      </c>
      <c r="D53" s="808">
        <v>0</v>
      </c>
      <c r="E53" s="430"/>
      <c r="F53" s="808">
        <v>0</v>
      </c>
      <c r="G53" s="430"/>
      <c r="H53" s="808">
        <v>0</v>
      </c>
      <c r="I53" s="430"/>
      <c r="J53" s="808">
        <v>1</v>
      </c>
      <c r="K53" s="430"/>
      <c r="L53" s="1354"/>
      <c r="M53" s="1355"/>
      <c r="N53" s="1356"/>
      <c r="O53" s="1355"/>
      <c r="P53" s="1354"/>
      <c r="Q53" s="1355"/>
      <c r="R53" s="1356"/>
      <c r="S53" s="1355"/>
      <c r="T53" s="264"/>
      <c r="U53" s="430"/>
      <c r="V53" s="254"/>
      <c r="W53" s="254"/>
      <c r="X53" s="254"/>
      <c r="Y53" s="254"/>
      <c r="Z53" s="254"/>
      <c r="AA53" s="255"/>
      <c r="AB53" s="255"/>
      <c r="AC53" s="255"/>
      <c r="AD53" s="255"/>
      <c r="AE53" s="255"/>
      <c r="AF53" s="1113" t="s">
        <v>1182</v>
      </c>
    </row>
    <row r="54" spans="1:32" s="256" customFormat="1" ht="25.5">
      <c r="A54" s="1111"/>
      <c r="B54" s="253" t="s">
        <v>348</v>
      </c>
      <c r="C54" s="261">
        <v>1</v>
      </c>
      <c r="D54" s="261">
        <v>0</v>
      </c>
      <c r="E54" s="331"/>
      <c r="F54" s="261">
        <v>0</v>
      </c>
      <c r="G54" s="331"/>
      <c r="H54" s="261">
        <v>0</v>
      </c>
      <c r="I54" s="331"/>
      <c r="J54" s="261">
        <v>1</v>
      </c>
      <c r="K54" s="331"/>
      <c r="L54" s="1354"/>
      <c r="M54" s="1381"/>
      <c r="N54" s="1360"/>
      <c r="O54" s="1382"/>
      <c r="P54" s="1354"/>
      <c r="Q54" s="1381"/>
      <c r="R54" s="1360"/>
      <c r="S54" s="1382"/>
      <c r="T54" s="264"/>
      <c r="U54" s="331"/>
      <c r="V54" s="254"/>
      <c r="W54" s="254"/>
      <c r="X54" s="254"/>
      <c r="Y54" s="254"/>
      <c r="Z54" s="254"/>
      <c r="AA54" s="255"/>
      <c r="AB54" s="255"/>
      <c r="AC54" s="255"/>
      <c r="AD54" s="255"/>
      <c r="AE54" s="255"/>
      <c r="AF54" s="255"/>
    </row>
    <row r="55" spans="1:32" s="256" customFormat="1" ht="38.25">
      <c r="A55" s="1225" t="s">
        <v>1416</v>
      </c>
      <c r="B55" s="969" t="s">
        <v>445</v>
      </c>
      <c r="C55" s="428"/>
      <c r="D55" s="428"/>
      <c r="E55" s="248"/>
      <c r="F55" s="428"/>
      <c r="G55" s="248"/>
      <c r="H55" s="428"/>
      <c r="I55" s="248"/>
      <c r="J55" s="428"/>
      <c r="K55" s="248"/>
      <c r="L55" s="428"/>
      <c r="M55" s="429"/>
      <c r="N55" s="430"/>
      <c r="O55" s="429"/>
      <c r="P55" s="428"/>
      <c r="Q55" s="429"/>
      <c r="R55" s="430"/>
      <c r="S55" s="429"/>
      <c r="T55" s="428"/>
      <c r="U55" s="248"/>
      <c r="V55" s="254"/>
      <c r="W55" s="254"/>
      <c r="X55" s="254"/>
      <c r="Y55" s="254"/>
      <c r="Z55" s="254"/>
      <c r="AA55" s="255"/>
      <c r="AB55" s="255"/>
      <c r="AC55" s="255"/>
      <c r="AD55" s="255" t="s">
        <v>325</v>
      </c>
      <c r="AE55" s="255"/>
      <c r="AF55" s="255"/>
    </row>
    <row r="56" spans="1:32" s="256" customFormat="1" ht="39.75" customHeight="1">
      <c r="A56" s="1112"/>
      <c r="B56" s="963" t="s">
        <v>1177</v>
      </c>
      <c r="C56" s="261">
        <v>300</v>
      </c>
      <c r="D56" s="261">
        <v>0</v>
      </c>
      <c r="E56" s="430"/>
      <c r="F56" s="261">
        <v>0</v>
      </c>
      <c r="G56" s="430"/>
      <c r="H56" s="261">
        <v>0</v>
      </c>
      <c r="I56" s="430"/>
      <c r="J56" s="261">
        <v>300</v>
      </c>
      <c r="K56" s="430"/>
      <c r="L56" s="1354"/>
      <c r="M56" s="1355"/>
      <c r="N56" s="1356"/>
      <c r="O56" s="1355"/>
      <c r="P56" s="1354"/>
      <c r="Q56" s="1355"/>
      <c r="R56" s="1356"/>
      <c r="S56" s="1355"/>
      <c r="T56" s="264"/>
      <c r="U56" s="430"/>
      <c r="V56" s="254"/>
      <c r="W56" s="254"/>
      <c r="X56" s="254"/>
      <c r="Y56" s="254"/>
      <c r="Z56" s="254"/>
      <c r="AA56" s="255"/>
      <c r="AB56" s="255"/>
      <c r="AC56" s="255"/>
      <c r="AD56" s="255"/>
      <c r="AE56" s="255"/>
      <c r="AF56" s="1113" t="s">
        <v>1183</v>
      </c>
    </row>
    <row r="57" spans="1:246" s="244" customFormat="1" ht="25.5" customHeight="1">
      <c r="A57" s="965" t="s">
        <v>1417</v>
      </c>
      <c r="B57" s="803" t="s">
        <v>392</v>
      </c>
      <c r="C57" s="804"/>
      <c r="D57" s="804"/>
      <c r="E57" s="802"/>
      <c r="F57" s="804"/>
      <c r="G57" s="802"/>
      <c r="H57" s="804"/>
      <c r="I57" s="802"/>
      <c r="J57" s="804"/>
      <c r="K57" s="802"/>
      <c r="L57" s="1374"/>
      <c r="M57" s="1375"/>
      <c r="N57" s="1376"/>
      <c r="O57" s="1377"/>
      <c r="P57" s="1374"/>
      <c r="Q57" s="1375"/>
      <c r="R57" s="1376"/>
      <c r="S57" s="1377"/>
      <c r="T57" s="804"/>
      <c r="U57" s="802"/>
      <c r="V57" s="239"/>
      <c r="W57" s="239"/>
      <c r="X57" s="239"/>
      <c r="Y57" s="239"/>
      <c r="Z57" s="239"/>
      <c r="AA57" s="240"/>
      <c r="AB57" s="240"/>
      <c r="AC57" s="240"/>
      <c r="AD57" s="240"/>
      <c r="AE57" s="240" t="s">
        <v>325</v>
      </c>
      <c r="AF57" s="240" t="s">
        <v>325</v>
      </c>
      <c r="AG57" s="1338"/>
      <c r="AH57" s="1338"/>
      <c r="AI57" s="1338"/>
      <c r="AJ57" s="1338"/>
      <c r="AK57" s="1338"/>
      <c r="AL57" s="1338"/>
      <c r="AM57" s="242"/>
      <c r="AN57" s="243"/>
      <c r="AO57" s="1338"/>
      <c r="AP57" s="1338"/>
      <c r="AQ57" s="1338"/>
      <c r="AR57" s="1338"/>
      <c r="AS57" s="1338"/>
      <c r="AT57" s="1338"/>
      <c r="AU57" s="1338"/>
      <c r="AV57" s="1338"/>
      <c r="AW57" s="1338"/>
      <c r="AX57" s="1338"/>
      <c r="AY57" s="1338"/>
      <c r="AZ57" s="1338"/>
      <c r="BA57" s="1338"/>
      <c r="BB57" s="1338"/>
      <c r="BC57" s="1338"/>
      <c r="BD57" s="1338"/>
      <c r="BE57" s="1338"/>
      <c r="BF57" s="1338"/>
      <c r="BG57" s="1338"/>
      <c r="BH57" s="1338"/>
      <c r="BI57" s="1338"/>
      <c r="BJ57" s="1338"/>
      <c r="BK57" s="242"/>
      <c r="BL57" s="243"/>
      <c r="BM57" s="1338"/>
      <c r="BN57" s="1338"/>
      <c r="BO57" s="1338"/>
      <c r="BP57" s="1338"/>
      <c r="BQ57" s="1338"/>
      <c r="BR57" s="1338"/>
      <c r="BS57" s="1338"/>
      <c r="BT57" s="1338"/>
      <c r="BU57" s="1338"/>
      <c r="BV57" s="1338"/>
      <c r="BW57" s="1338"/>
      <c r="BX57" s="1338"/>
      <c r="BY57" s="1338"/>
      <c r="BZ57" s="1338"/>
      <c r="CA57" s="1338"/>
      <c r="CB57" s="1338"/>
      <c r="CC57" s="1338"/>
      <c r="CD57" s="1338"/>
      <c r="CE57" s="1338"/>
      <c r="CF57" s="1338"/>
      <c r="CG57" s="1338"/>
      <c r="CH57" s="1338"/>
      <c r="CI57" s="242"/>
      <c r="CJ57" s="243"/>
      <c r="CK57" s="1338"/>
      <c r="CL57" s="1338"/>
      <c r="CM57" s="1338"/>
      <c r="CN57" s="1338"/>
      <c r="CO57" s="1338"/>
      <c r="CP57" s="1338"/>
      <c r="CQ57" s="1338"/>
      <c r="CR57" s="1338"/>
      <c r="CS57" s="1338"/>
      <c r="CT57" s="1338"/>
      <c r="CU57" s="1338"/>
      <c r="CV57" s="1338"/>
      <c r="CW57" s="1338"/>
      <c r="CX57" s="1338"/>
      <c r="CY57" s="1338"/>
      <c r="CZ57" s="1338"/>
      <c r="DA57" s="1338"/>
      <c r="DB57" s="1338"/>
      <c r="DC57" s="1338"/>
      <c r="DD57" s="1338"/>
      <c r="DE57" s="1338"/>
      <c r="DF57" s="1338"/>
      <c r="DG57" s="242"/>
      <c r="DH57" s="243"/>
      <c r="DI57" s="1338"/>
      <c r="DJ57" s="1338"/>
      <c r="DK57" s="1338"/>
      <c r="DL57" s="1338"/>
      <c r="DM57" s="1338"/>
      <c r="DN57" s="1338"/>
      <c r="DO57" s="1338"/>
      <c r="DP57" s="1338"/>
      <c r="DQ57" s="1338"/>
      <c r="DR57" s="1338"/>
      <c r="DS57" s="1338"/>
      <c r="DT57" s="1338"/>
      <c r="DU57" s="1338"/>
      <c r="DV57" s="1338"/>
      <c r="DW57" s="1338"/>
      <c r="DX57" s="1338"/>
      <c r="DY57" s="1338"/>
      <c r="DZ57" s="1338"/>
      <c r="EA57" s="1338"/>
      <c r="EB57" s="1338"/>
      <c r="EC57" s="1338"/>
      <c r="ED57" s="1338"/>
      <c r="EE57" s="242"/>
      <c r="EF57" s="243"/>
      <c r="EG57" s="1338"/>
      <c r="EH57" s="1338"/>
      <c r="EI57" s="1338"/>
      <c r="EJ57" s="1338"/>
      <c r="EK57" s="1338"/>
      <c r="EL57" s="1338"/>
      <c r="EM57" s="1338"/>
      <c r="EN57" s="1338"/>
      <c r="EO57" s="1338"/>
      <c r="EP57" s="1338"/>
      <c r="EQ57" s="1338"/>
      <c r="ER57" s="1338"/>
      <c r="ES57" s="1338"/>
      <c r="ET57" s="1338"/>
      <c r="EU57" s="1338"/>
      <c r="EV57" s="1338"/>
      <c r="EW57" s="1338"/>
      <c r="EX57" s="1338"/>
      <c r="EY57" s="1338"/>
      <c r="EZ57" s="1338"/>
      <c r="FA57" s="1338"/>
      <c r="FB57" s="1338"/>
      <c r="FC57" s="242"/>
      <c r="FD57" s="243"/>
      <c r="FE57" s="1338"/>
      <c r="FF57" s="1338"/>
      <c r="FG57" s="1338"/>
      <c r="FH57" s="1338"/>
      <c r="FI57" s="1338"/>
      <c r="FJ57" s="1338"/>
      <c r="FK57" s="1338"/>
      <c r="FL57" s="1338"/>
      <c r="FM57" s="1338"/>
      <c r="FN57" s="1338"/>
      <c r="FO57" s="1338"/>
      <c r="FP57" s="1338"/>
      <c r="FQ57" s="1338"/>
      <c r="FR57" s="1338"/>
      <c r="FS57" s="1338"/>
      <c r="FT57" s="1338"/>
      <c r="FU57" s="1338"/>
      <c r="FV57" s="1338"/>
      <c r="FW57" s="1338"/>
      <c r="FX57" s="1338"/>
      <c r="FY57" s="1338"/>
      <c r="FZ57" s="1338"/>
      <c r="GA57" s="242"/>
      <c r="GB57" s="243"/>
      <c r="GC57" s="1338"/>
      <c r="GD57" s="1338"/>
      <c r="GE57" s="1338"/>
      <c r="GF57" s="1338"/>
      <c r="GG57" s="1338"/>
      <c r="GH57" s="1338"/>
      <c r="GI57" s="1338"/>
      <c r="GJ57" s="1338"/>
      <c r="GK57" s="1338"/>
      <c r="GL57" s="1338"/>
      <c r="GM57" s="1338"/>
      <c r="GN57" s="1338"/>
      <c r="GO57" s="1338"/>
      <c r="GP57" s="1338"/>
      <c r="GQ57" s="1338"/>
      <c r="GR57" s="1338"/>
      <c r="GS57" s="1338"/>
      <c r="GT57" s="1338"/>
      <c r="GU57" s="1338"/>
      <c r="GV57" s="1338"/>
      <c r="GW57" s="1338"/>
      <c r="GX57" s="1338"/>
      <c r="GY57" s="242"/>
      <c r="GZ57" s="243"/>
      <c r="HA57" s="1338"/>
      <c r="HB57" s="1338"/>
      <c r="HC57" s="1338"/>
      <c r="HD57" s="1338"/>
      <c r="HE57" s="1338"/>
      <c r="HF57" s="1338"/>
      <c r="HG57" s="1338"/>
      <c r="HH57" s="1338"/>
      <c r="HI57" s="1338"/>
      <c r="HJ57" s="1338"/>
      <c r="HK57" s="1338"/>
      <c r="HL57" s="1338"/>
      <c r="HM57" s="1338"/>
      <c r="HN57" s="1338"/>
      <c r="HO57" s="1338"/>
      <c r="HP57" s="1338"/>
      <c r="HQ57" s="1338"/>
      <c r="HR57" s="1338"/>
      <c r="HS57" s="1338"/>
      <c r="HT57" s="1338"/>
      <c r="HU57" s="1338"/>
      <c r="HV57" s="1338"/>
      <c r="HW57" s="242"/>
      <c r="HX57" s="243"/>
      <c r="HY57" s="1338"/>
      <c r="HZ57" s="1338"/>
      <c r="IA57" s="1338"/>
      <c r="IB57" s="1338"/>
      <c r="IC57" s="1338"/>
      <c r="ID57" s="1338"/>
      <c r="IE57" s="1338"/>
      <c r="IF57" s="1338"/>
      <c r="IG57" s="1338"/>
      <c r="IH57" s="1338"/>
      <c r="II57" s="1338"/>
      <c r="IJ57" s="1338"/>
      <c r="IK57" s="1338"/>
      <c r="IL57" s="1338"/>
    </row>
    <row r="58" spans="1:32" s="256" customFormat="1" ht="38.25">
      <c r="A58" s="252"/>
      <c r="B58" s="253" t="s">
        <v>349</v>
      </c>
      <c r="C58" s="261">
        <v>30</v>
      </c>
      <c r="D58" s="261">
        <v>0</v>
      </c>
      <c r="E58" s="263"/>
      <c r="F58" s="261">
        <v>0</v>
      </c>
      <c r="G58" s="263"/>
      <c r="H58" s="261">
        <v>15</v>
      </c>
      <c r="I58" s="263"/>
      <c r="J58" s="261">
        <v>30</v>
      </c>
      <c r="K58" s="263"/>
      <c r="L58" s="1378"/>
      <c r="M58" s="1379"/>
      <c r="N58" s="1380"/>
      <c r="O58" s="1379"/>
      <c r="P58" s="1378"/>
      <c r="Q58" s="1379"/>
      <c r="R58" s="1380"/>
      <c r="S58" s="1379"/>
      <c r="T58" s="261">
        <v>30</v>
      </c>
      <c r="U58" s="263"/>
      <c r="V58" s="806"/>
      <c r="W58" s="806"/>
      <c r="X58" s="254"/>
      <c r="Y58" s="254"/>
      <c r="Z58" s="254"/>
      <c r="AA58" s="255"/>
      <c r="AB58" s="255"/>
      <c r="AC58" s="255"/>
      <c r="AD58" s="255"/>
      <c r="AE58" s="255"/>
      <c r="AF58" s="255"/>
    </row>
    <row r="59" spans="1:32" s="256" customFormat="1" ht="25.5">
      <c r="A59" s="1117" t="s">
        <v>1418</v>
      </c>
      <c r="B59" s="918" t="s">
        <v>393</v>
      </c>
      <c r="C59" s="275"/>
      <c r="D59" s="275"/>
      <c r="E59" s="248"/>
      <c r="F59" s="275"/>
      <c r="G59" s="248"/>
      <c r="H59" s="275"/>
      <c r="I59" s="248"/>
      <c r="J59" s="275"/>
      <c r="K59" s="248"/>
      <c r="L59" s="275"/>
      <c r="M59" s="276"/>
      <c r="N59" s="277"/>
      <c r="O59" s="276"/>
      <c r="P59" s="275"/>
      <c r="Q59" s="276"/>
      <c r="R59" s="277"/>
      <c r="S59" s="276"/>
      <c r="T59" s="275"/>
      <c r="U59" s="248"/>
      <c r="V59" s="254"/>
      <c r="W59" s="254"/>
      <c r="X59" s="254"/>
      <c r="Y59" s="254"/>
      <c r="Z59" s="254"/>
      <c r="AA59" s="255"/>
      <c r="AB59" s="255"/>
      <c r="AC59" s="255"/>
      <c r="AD59" s="255"/>
      <c r="AE59" s="255" t="s">
        <v>325</v>
      </c>
      <c r="AF59" s="255" t="s">
        <v>325</v>
      </c>
    </row>
    <row r="60" spans="1:32" s="256" customFormat="1" ht="54" customHeight="1" thickBot="1">
      <c r="A60" s="1232"/>
      <c r="B60" s="919" t="s">
        <v>350</v>
      </c>
      <c r="C60" s="458">
        <v>3257</v>
      </c>
      <c r="D60" s="458">
        <v>0</v>
      </c>
      <c r="E60" s="1116">
        <v>3586</v>
      </c>
      <c r="F60" s="458">
        <v>2693</v>
      </c>
      <c r="G60" s="1116">
        <v>3989</v>
      </c>
      <c r="H60" s="458">
        <v>1800</v>
      </c>
      <c r="I60" s="459"/>
      <c r="J60" s="458">
        <v>3257</v>
      </c>
      <c r="K60" s="459"/>
      <c r="L60" s="1383"/>
      <c r="M60" s="1384"/>
      <c r="N60" s="1385"/>
      <c r="O60" s="1386"/>
      <c r="P60" s="1383"/>
      <c r="Q60" s="1384"/>
      <c r="R60" s="1385"/>
      <c r="S60" s="1386"/>
      <c r="T60" s="458"/>
      <c r="U60" s="459"/>
      <c r="V60" s="254"/>
      <c r="W60" s="254"/>
      <c r="X60" s="254"/>
      <c r="Y60" s="254"/>
      <c r="Z60" s="254"/>
      <c r="AA60" s="255"/>
      <c r="AB60" s="255"/>
      <c r="AC60" s="255"/>
      <c r="AD60" s="255"/>
      <c r="AE60" s="255"/>
      <c r="AF60" s="255"/>
    </row>
    <row r="61" spans="1:26" s="256" customFormat="1" ht="12.75">
      <c r="A61" s="242"/>
      <c r="B61" s="278"/>
      <c r="C61" s="279"/>
      <c r="D61" s="279"/>
      <c r="E61" s="251"/>
      <c r="F61" s="279"/>
      <c r="G61" s="251"/>
      <c r="H61" s="398"/>
      <c r="I61" s="398"/>
      <c r="J61" s="398"/>
      <c r="K61" s="251"/>
      <c r="L61" s="279"/>
      <c r="M61" s="280"/>
      <c r="N61" s="251"/>
      <c r="O61" s="281"/>
      <c r="P61" s="279"/>
      <c r="Q61" s="280"/>
      <c r="R61" s="251"/>
      <c r="S61" s="281"/>
      <c r="T61" s="279"/>
      <c r="U61" s="251"/>
      <c r="V61" s="282"/>
      <c r="W61" s="282"/>
      <c r="X61" s="282"/>
      <c r="Y61" s="282"/>
      <c r="Z61" s="282"/>
    </row>
    <row r="65" ht="15"/>
    <row r="66" ht="15"/>
    <row r="67" ht="15"/>
  </sheetData>
  <sheetProtection/>
  <mergeCells count="847">
    <mergeCell ref="L60:M60"/>
    <mergeCell ref="N60:O60"/>
    <mergeCell ref="P60:Q60"/>
    <mergeCell ref="R60:S60"/>
    <mergeCell ref="II57:IJ57"/>
    <mergeCell ref="IK57:IL57"/>
    <mergeCell ref="L58:M58"/>
    <mergeCell ref="N58:O58"/>
    <mergeCell ref="P58:Q58"/>
    <mergeCell ref="R58:S58"/>
    <mergeCell ref="IA57:IB57"/>
    <mergeCell ref="IC57:ID57"/>
    <mergeCell ref="IE57:IF57"/>
    <mergeCell ref="IG57:IH57"/>
    <mergeCell ref="HQ57:HR57"/>
    <mergeCell ref="HS57:HT57"/>
    <mergeCell ref="HU57:HV57"/>
    <mergeCell ref="HY57:HZ57"/>
    <mergeCell ref="HI57:HJ57"/>
    <mergeCell ref="HK57:HL57"/>
    <mergeCell ref="HM57:HN57"/>
    <mergeCell ref="HO57:HP57"/>
    <mergeCell ref="HA57:HB57"/>
    <mergeCell ref="HC57:HD57"/>
    <mergeCell ref="HE57:HF57"/>
    <mergeCell ref="HG57:HH57"/>
    <mergeCell ref="GQ57:GR57"/>
    <mergeCell ref="GS57:GT57"/>
    <mergeCell ref="GU57:GV57"/>
    <mergeCell ref="GW57:GX57"/>
    <mergeCell ref="GI57:GJ57"/>
    <mergeCell ref="GK57:GL57"/>
    <mergeCell ref="GM57:GN57"/>
    <mergeCell ref="GO57:GP57"/>
    <mergeCell ref="FY57:FZ57"/>
    <mergeCell ref="GC57:GD57"/>
    <mergeCell ref="GE57:GF57"/>
    <mergeCell ref="GG57:GH57"/>
    <mergeCell ref="FQ57:FR57"/>
    <mergeCell ref="FS57:FT57"/>
    <mergeCell ref="FU57:FV57"/>
    <mergeCell ref="FW57:FX57"/>
    <mergeCell ref="FI57:FJ57"/>
    <mergeCell ref="FK57:FL57"/>
    <mergeCell ref="FM57:FN57"/>
    <mergeCell ref="FO57:FP57"/>
    <mergeCell ref="EY57:EZ57"/>
    <mergeCell ref="FA57:FB57"/>
    <mergeCell ref="FE57:FF57"/>
    <mergeCell ref="FG57:FH57"/>
    <mergeCell ref="EQ57:ER57"/>
    <mergeCell ref="ES57:ET57"/>
    <mergeCell ref="EU57:EV57"/>
    <mergeCell ref="EW57:EX57"/>
    <mergeCell ref="EI57:EJ57"/>
    <mergeCell ref="EK57:EL57"/>
    <mergeCell ref="EM57:EN57"/>
    <mergeCell ref="EO57:EP57"/>
    <mergeCell ref="DY57:DZ57"/>
    <mergeCell ref="EA57:EB57"/>
    <mergeCell ref="EC57:ED57"/>
    <mergeCell ref="EG57:EH57"/>
    <mergeCell ref="DQ57:DR57"/>
    <mergeCell ref="DS57:DT57"/>
    <mergeCell ref="DU57:DV57"/>
    <mergeCell ref="DW57:DX57"/>
    <mergeCell ref="DI57:DJ57"/>
    <mergeCell ref="DK57:DL57"/>
    <mergeCell ref="DM57:DN57"/>
    <mergeCell ref="DO57:DP57"/>
    <mergeCell ref="CY57:CZ57"/>
    <mergeCell ref="DA57:DB57"/>
    <mergeCell ref="DC57:DD57"/>
    <mergeCell ref="DE57:DF57"/>
    <mergeCell ref="CQ57:CR57"/>
    <mergeCell ref="CS57:CT57"/>
    <mergeCell ref="CU57:CV57"/>
    <mergeCell ref="CW57:CX57"/>
    <mergeCell ref="CG57:CH57"/>
    <mergeCell ref="CK57:CL57"/>
    <mergeCell ref="CM57:CN57"/>
    <mergeCell ref="CO57:CP57"/>
    <mergeCell ref="BY57:BZ57"/>
    <mergeCell ref="CA57:CB57"/>
    <mergeCell ref="CC57:CD57"/>
    <mergeCell ref="CE57:CF57"/>
    <mergeCell ref="BQ57:BR57"/>
    <mergeCell ref="BS57:BT57"/>
    <mergeCell ref="BU57:BV57"/>
    <mergeCell ref="BW57:BX57"/>
    <mergeCell ref="BG57:BH57"/>
    <mergeCell ref="BI57:BJ57"/>
    <mergeCell ref="BM57:BN57"/>
    <mergeCell ref="BO57:BP57"/>
    <mergeCell ref="AY57:AZ57"/>
    <mergeCell ref="BA57:BB57"/>
    <mergeCell ref="BC57:BD57"/>
    <mergeCell ref="BE57:BF57"/>
    <mergeCell ref="AQ57:AR57"/>
    <mergeCell ref="AS57:AT57"/>
    <mergeCell ref="AU57:AV57"/>
    <mergeCell ref="AW57:AX57"/>
    <mergeCell ref="AG57:AH57"/>
    <mergeCell ref="AI57:AJ57"/>
    <mergeCell ref="AK57:AL57"/>
    <mergeCell ref="AO57:AP57"/>
    <mergeCell ref="L57:M57"/>
    <mergeCell ref="N57:O57"/>
    <mergeCell ref="P57:Q57"/>
    <mergeCell ref="R57:S57"/>
    <mergeCell ref="L56:M56"/>
    <mergeCell ref="N56:O56"/>
    <mergeCell ref="P56:Q56"/>
    <mergeCell ref="R56:S56"/>
    <mergeCell ref="L54:M54"/>
    <mergeCell ref="N54:O54"/>
    <mergeCell ref="P54:Q54"/>
    <mergeCell ref="R54:S54"/>
    <mergeCell ref="L53:M53"/>
    <mergeCell ref="N53:O53"/>
    <mergeCell ref="P53:Q53"/>
    <mergeCell ref="R53:S53"/>
    <mergeCell ref="L51:M51"/>
    <mergeCell ref="N51:O51"/>
    <mergeCell ref="P51:Q51"/>
    <mergeCell ref="R51:S51"/>
    <mergeCell ref="II48:IJ48"/>
    <mergeCell ref="IK48:IL48"/>
    <mergeCell ref="L49:M49"/>
    <mergeCell ref="N49:O49"/>
    <mergeCell ref="P49:Q49"/>
    <mergeCell ref="R49:S49"/>
    <mergeCell ref="HU48:HV48"/>
    <mergeCell ref="HY48:HZ48"/>
    <mergeCell ref="IA48:IB48"/>
    <mergeCell ref="IC48:ID48"/>
    <mergeCell ref="IE48:IF48"/>
    <mergeCell ref="IG48:IH48"/>
    <mergeCell ref="HI48:HJ48"/>
    <mergeCell ref="HK48:HL48"/>
    <mergeCell ref="HM48:HN48"/>
    <mergeCell ref="HO48:HP48"/>
    <mergeCell ref="HQ48:HR48"/>
    <mergeCell ref="HS48:HT48"/>
    <mergeCell ref="HA48:HB48"/>
    <mergeCell ref="HC48:HD48"/>
    <mergeCell ref="HE48:HF48"/>
    <mergeCell ref="HG48:HH48"/>
    <mergeCell ref="GQ48:GR48"/>
    <mergeCell ref="GS48:GT48"/>
    <mergeCell ref="GU48:GV48"/>
    <mergeCell ref="GW48:GX48"/>
    <mergeCell ref="GI48:GJ48"/>
    <mergeCell ref="GK48:GL48"/>
    <mergeCell ref="GM48:GN48"/>
    <mergeCell ref="GO48:GP48"/>
    <mergeCell ref="FY48:FZ48"/>
    <mergeCell ref="GC48:GD48"/>
    <mergeCell ref="GE48:GF48"/>
    <mergeCell ref="GG48:GH48"/>
    <mergeCell ref="FQ48:FR48"/>
    <mergeCell ref="FS48:FT48"/>
    <mergeCell ref="FU48:FV48"/>
    <mergeCell ref="FW48:FX48"/>
    <mergeCell ref="FI48:FJ48"/>
    <mergeCell ref="FK48:FL48"/>
    <mergeCell ref="FM48:FN48"/>
    <mergeCell ref="FO48:FP48"/>
    <mergeCell ref="EY48:EZ48"/>
    <mergeCell ref="FA48:FB48"/>
    <mergeCell ref="FE48:FF48"/>
    <mergeCell ref="FG48:FH48"/>
    <mergeCell ref="EQ48:ER48"/>
    <mergeCell ref="ES48:ET48"/>
    <mergeCell ref="EU48:EV48"/>
    <mergeCell ref="EW48:EX48"/>
    <mergeCell ref="EI48:EJ48"/>
    <mergeCell ref="EK48:EL48"/>
    <mergeCell ref="EM48:EN48"/>
    <mergeCell ref="EO48:EP48"/>
    <mergeCell ref="DY48:DZ48"/>
    <mergeCell ref="EA48:EB48"/>
    <mergeCell ref="EC48:ED48"/>
    <mergeCell ref="EG48:EH48"/>
    <mergeCell ref="DQ48:DR48"/>
    <mergeCell ref="DS48:DT48"/>
    <mergeCell ref="DU48:DV48"/>
    <mergeCell ref="DW48:DX48"/>
    <mergeCell ref="DI48:DJ48"/>
    <mergeCell ref="DK48:DL48"/>
    <mergeCell ref="DM48:DN48"/>
    <mergeCell ref="DO48:DP48"/>
    <mergeCell ref="CY48:CZ48"/>
    <mergeCell ref="DA48:DB48"/>
    <mergeCell ref="DC48:DD48"/>
    <mergeCell ref="DE48:DF48"/>
    <mergeCell ref="CQ48:CR48"/>
    <mergeCell ref="CS48:CT48"/>
    <mergeCell ref="CU48:CV48"/>
    <mergeCell ref="CW48:CX48"/>
    <mergeCell ref="CG48:CH48"/>
    <mergeCell ref="CK48:CL48"/>
    <mergeCell ref="CM48:CN48"/>
    <mergeCell ref="CO48:CP48"/>
    <mergeCell ref="BY48:BZ48"/>
    <mergeCell ref="CA48:CB48"/>
    <mergeCell ref="CC48:CD48"/>
    <mergeCell ref="CE48:CF48"/>
    <mergeCell ref="BQ48:BR48"/>
    <mergeCell ref="BS48:BT48"/>
    <mergeCell ref="BU48:BV48"/>
    <mergeCell ref="BW48:BX48"/>
    <mergeCell ref="BG48:BH48"/>
    <mergeCell ref="BI48:BJ48"/>
    <mergeCell ref="BM48:BN48"/>
    <mergeCell ref="BO48:BP48"/>
    <mergeCell ref="AY48:AZ48"/>
    <mergeCell ref="BA48:BB48"/>
    <mergeCell ref="BC48:BD48"/>
    <mergeCell ref="BE48:BF48"/>
    <mergeCell ref="AQ48:AR48"/>
    <mergeCell ref="AS48:AT48"/>
    <mergeCell ref="AU48:AV48"/>
    <mergeCell ref="AW48:AX48"/>
    <mergeCell ref="AG48:AH48"/>
    <mergeCell ref="AI48:AJ48"/>
    <mergeCell ref="AK48:AL48"/>
    <mergeCell ref="AO48:AP48"/>
    <mergeCell ref="L48:M48"/>
    <mergeCell ref="N48:O48"/>
    <mergeCell ref="P48:Q48"/>
    <mergeCell ref="R48:S48"/>
    <mergeCell ref="L47:M47"/>
    <mergeCell ref="N47:O47"/>
    <mergeCell ref="P47:Q47"/>
    <mergeCell ref="R47:S47"/>
    <mergeCell ref="L45:M45"/>
    <mergeCell ref="N45:O45"/>
    <mergeCell ref="P45:Q45"/>
    <mergeCell ref="R45:S45"/>
    <mergeCell ref="L43:M43"/>
    <mergeCell ref="N43:O43"/>
    <mergeCell ref="P43:Q43"/>
    <mergeCell ref="R43:S43"/>
    <mergeCell ref="II40:IJ40"/>
    <mergeCell ref="IK40:IL40"/>
    <mergeCell ref="L41:M41"/>
    <mergeCell ref="N41:O41"/>
    <mergeCell ref="P41:Q41"/>
    <mergeCell ref="R41:S41"/>
    <mergeCell ref="HU40:HV40"/>
    <mergeCell ref="HY40:HZ40"/>
    <mergeCell ref="IA40:IB40"/>
    <mergeCell ref="IC40:ID40"/>
    <mergeCell ref="IE40:IF40"/>
    <mergeCell ref="IG40:IH40"/>
    <mergeCell ref="HI40:HJ40"/>
    <mergeCell ref="HK40:HL40"/>
    <mergeCell ref="HM40:HN40"/>
    <mergeCell ref="HO40:HP40"/>
    <mergeCell ref="HQ40:HR40"/>
    <mergeCell ref="HS40:HT40"/>
    <mergeCell ref="HA40:HB40"/>
    <mergeCell ref="HC40:HD40"/>
    <mergeCell ref="HE40:HF40"/>
    <mergeCell ref="HG40:HH40"/>
    <mergeCell ref="GQ40:GR40"/>
    <mergeCell ref="GS40:GT40"/>
    <mergeCell ref="GU40:GV40"/>
    <mergeCell ref="GW40:GX40"/>
    <mergeCell ref="GI40:GJ40"/>
    <mergeCell ref="GK40:GL40"/>
    <mergeCell ref="GM40:GN40"/>
    <mergeCell ref="GO40:GP40"/>
    <mergeCell ref="FY40:FZ40"/>
    <mergeCell ref="GC40:GD40"/>
    <mergeCell ref="GE40:GF40"/>
    <mergeCell ref="GG40:GH40"/>
    <mergeCell ref="FQ40:FR40"/>
    <mergeCell ref="FS40:FT40"/>
    <mergeCell ref="FU40:FV40"/>
    <mergeCell ref="FW40:FX40"/>
    <mergeCell ref="FI40:FJ40"/>
    <mergeCell ref="FK40:FL40"/>
    <mergeCell ref="FM40:FN40"/>
    <mergeCell ref="FO40:FP40"/>
    <mergeCell ref="EY40:EZ40"/>
    <mergeCell ref="FA40:FB40"/>
    <mergeCell ref="FE40:FF40"/>
    <mergeCell ref="FG40:FH40"/>
    <mergeCell ref="EQ40:ER40"/>
    <mergeCell ref="ES40:ET40"/>
    <mergeCell ref="EU40:EV40"/>
    <mergeCell ref="EW40:EX40"/>
    <mergeCell ref="EI40:EJ40"/>
    <mergeCell ref="EK40:EL40"/>
    <mergeCell ref="EM40:EN40"/>
    <mergeCell ref="EO40:EP40"/>
    <mergeCell ref="DY40:DZ40"/>
    <mergeCell ref="EA40:EB40"/>
    <mergeCell ref="EC40:ED40"/>
    <mergeCell ref="EG40:EH40"/>
    <mergeCell ref="DQ40:DR40"/>
    <mergeCell ref="DS40:DT40"/>
    <mergeCell ref="DU40:DV40"/>
    <mergeCell ref="DW40:DX40"/>
    <mergeCell ref="DI40:DJ40"/>
    <mergeCell ref="DK40:DL40"/>
    <mergeCell ref="DM40:DN40"/>
    <mergeCell ref="DO40:DP40"/>
    <mergeCell ref="CY40:CZ40"/>
    <mergeCell ref="DA40:DB40"/>
    <mergeCell ref="DC40:DD40"/>
    <mergeCell ref="DE40:DF40"/>
    <mergeCell ref="CQ40:CR40"/>
    <mergeCell ref="CS40:CT40"/>
    <mergeCell ref="CU40:CV40"/>
    <mergeCell ref="CW40:CX40"/>
    <mergeCell ref="CG40:CH40"/>
    <mergeCell ref="CK40:CL40"/>
    <mergeCell ref="CM40:CN40"/>
    <mergeCell ref="CO40:CP40"/>
    <mergeCell ref="BY40:BZ40"/>
    <mergeCell ref="CA40:CB40"/>
    <mergeCell ref="CC40:CD40"/>
    <mergeCell ref="CE40:CF40"/>
    <mergeCell ref="BQ40:BR40"/>
    <mergeCell ref="BS40:BT40"/>
    <mergeCell ref="BU40:BV40"/>
    <mergeCell ref="BW40:BX40"/>
    <mergeCell ref="BG40:BH40"/>
    <mergeCell ref="BI40:BJ40"/>
    <mergeCell ref="BM40:BN40"/>
    <mergeCell ref="BO40:BP40"/>
    <mergeCell ref="AY40:AZ40"/>
    <mergeCell ref="BA40:BB40"/>
    <mergeCell ref="BC40:BD40"/>
    <mergeCell ref="BE40:BF40"/>
    <mergeCell ref="AQ40:AR40"/>
    <mergeCell ref="AS40:AT40"/>
    <mergeCell ref="AU40:AV40"/>
    <mergeCell ref="AW40:AX40"/>
    <mergeCell ref="AG40:AH40"/>
    <mergeCell ref="AI40:AJ40"/>
    <mergeCell ref="AK40:AL40"/>
    <mergeCell ref="AO40:AP40"/>
    <mergeCell ref="L40:M40"/>
    <mergeCell ref="N40:O40"/>
    <mergeCell ref="P40:Q40"/>
    <mergeCell ref="R40:S40"/>
    <mergeCell ref="II37:IJ37"/>
    <mergeCell ref="IK37:IL37"/>
    <mergeCell ref="L39:M39"/>
    <mergeCell ref="N39:O39"/>
    <mergeCell ref="P39:Q39"/>
    <mergeCell ref="R39:S39"/>
    <mergeCell ref="IA37:IB37"/>
    <mergeCell ref="IC37:ID37"/>
    <mergeCell ref="IE37:IF37"/>
    <mergeCell ref="IG37:IH37"/>
    <mergeCell ref="HQ37:HR37"/>
    <mergeCell ref="HS37:HT37"/>
    <mergeCell ref="HU37:HV37"/>
    <mergeCell ref="HY37:HZ37"/>
    <mergeCell ref="HI37:HJ37"/>
    <mergeCell ref="HK37:HL37"/>
    <mergeCell ref="HM37:HN37"/>
    <mergeCell ref="HO37:HP37"/>
    <mergeCell ref="HA37:HB37"/>
    <mergeCell ref="HC37:HD37"/>
    <mergeCell ref="HE37:HF37"/>
    <mergeCell ref="HG37:HH37"/>
    <mergeCell ref="GQ37:GR37"/>
    <mergeCell ref="GS37:GT37"/>
    <mergeCell ref="GU37:GV37"/>
    <mergeCell ref="GW37:GX37"/>
    <mergeCell ref="GI37:GJ37"/>
    <mergeCell ref="GK37:GL37"/>
    <mergeCell ref="GM37:GN37"/>
    <mergeCell ref="GO37:GP37"/>
    <mergeCell ref="FY37:FZ37"/>
    <mergeCell ref="GC37:GD37"/>
    <mergeCell ref="GE37:GF37"/>
    <mergeCell ref="GG37:GH37"/>
    <mergeCell ref="FQ37:FR37"/>
    <mergeCell ref="FS37:FT37"/>
    <mergeCell ref="FU37:FV37"/>
    <mergeCell ref="FW37:FX37"/>
    <mergeCell ref="FI37:FJ37"/>
    <mergeCell ref="FK37:FL37"/>
    <mergeCell ref="FM37:FN37"/>
    <mergeCell ref="FO37:FP37"/>
    <mergeCell ref="EY37:EZ37"/>
    <mergeCell ref="FA37:FB37"/>
    <mergeCell ref="FE37:FF37"/>
    <mergeCell ref="FG37:FH37"/>
    <mergeCell ref="EQ37:ER37"/>
    <mergeCell ref="ES37:ET37"/>
    <mergeCell ref="EU37:EV37"/>
    <mergeCell ref="EW37:EX37"/>
    <mergeCell ref="EI37:EJ37"/>
    <mergeCell ref="EK37:EL37"/>
    <mergeCell ref="EM37:EN37"/>
    <mergeCell ref="EO37:EP37"/>
    <mergeCell ref="DY37:DZ37"/>
    <mergeCell ref="EA37:EB37"/>
    <mergeCell ref="EC37:ED37"/>
    <mergeCell ref="EG37:EH37"/>
    <mergeCell ref="DQ37:DR37"/>
    <mergeCell ref="DS37:DT37"/>
    <mergeCell ref="DU37:DV37"/>
    <mergeCell ref="DW37:DX37"/>
    <mergeCell ref="DI37:DJ37"/>
    <mergeCell ref="DK37:DL37"/>
    <mergeCell ref="DM37:DN37"/>
    <mergeCell ref="DO37:DP37"/>
    <mergeCell ref="CY37:CZ37"/>
    <mergeCell ref="DA37:DB37"/>
    <mergeCell ref="DC37:DD37"/>
    <mergeCell ref="DE37:DF37"/>
    <mergeCell ref="CQ37:CR37"/>
    <mergeCell ref="CS37:CT37"/>
    <mergeCell ref="CU37:CV37"/>
    <mergeCell ref="CW37:CX37"/>
    <mergeCell ref="CG37:CH37"/>
    <mergeCell ref="CK37:CL37"/>
    <mergeCell ref="CM37:CN37"/>
    <mergeCell ref="CO37:CP37"/>
    <mergeCell ref="BY37:BZ37"/>
    <mergeCell ref="CA37:CB37"/>
    <mergeCell ref="CC37:CD37"/>
    <mergeCell ref="CE37:CF37"/>
    <mergeCell ref="BQ37:BR37"/>
    <mergeCell ref="BS37:BT37"/>
    <mergeCell ref="BU37:BV37"/>
    <mergeCell ref="BW37:BX37"/>
    <mergeCell ref="BG37:BH37"/>
    <mergeCell ref="BI37:BJ37"/>
    <mergeCell ref="BM37:BN37"/>
    <mergeCell ref="BO37:BP37"/>
    <mergeCell ref="AY37:AZ37"/>
    <mergeCell ref="BA37:BB37"/>
    <mergeCell ref="BC37:BD37"/>
    <mergeCell ref="BE37:BF37"/>
    <mergeCell ref="AQ37:AR37"/>
    <mergeCell ref="AS37:AT37"/>
    <mergeCell ref="AU37:AV37"/>
    <mergeCell ref="AW37:AX37"/>
    <mergeCell ref="AG37:AH37"/>
    <mergeCell ref="AI37:AJ37"/>
    <mergeCell ref="AK37:AL37"/>
    <mergeCell ref="AO37:AP37"/>
    <mergeCell ref="L37:M37"/>
    <mergeCell ref="N37:O37"/>
    <mergeCell ref="P37:Q37"/>
    <mergeCell ref="R37:S37"/>
    <mergeCell ref="L36:M36"/>
    <mergeCell ref="N36:O36"/>
    <mergeCell ref="P36:Q36"/>
    <mergeCell ref="R36:S36"/>
    <mergeCell ref="L34:M34"/>
    <mergeCell ref="N34:O34"/>
    <mergeCell ref="P34:Q34"/>
    <mergeCell ref="R34:S34"/>
    <mergeCell ref="L32:M32"/>
    <mergeCell ref="N32:O32"/>
    <mergeCell ref="P32:Q32"/>
    <mergeCell ref="R32:S32"/>
    <mergeCell ref="II29:IJ29"/>
    <mergeCell ref="IK29:IL29"/>
    <mergeCell ref="L31:M31"/>
    <mergeCell ref="N31:O31"/>
    <mergeCell ref="P31:Q31"/>
    <mergeCell ref="R31:S31"/>
    <mergeCell ref="IA29:IB29"/>
    <mergeCell ref="IC29:ID29"/>
    <mergeCell ref="IE29:IF29"/>
    <mergeCell ref="IG29:IH29"/>
    <mergeCell ref="HQ29:HR29"/>
    <mergeCell ref="HS29:HT29"/>
    <mergeCell ref="HU29:HV29"/>
    <mergeCell ref="HY29:HZ29"/>
    <mergeCell ref="HI29:HJ29"/>
    <mergeCell ref="HK29:HL29"/>
    <mergeCell ref="HM29:HN29"/>
    <mergeCell ref="HO29:HP29"/>
    <mergeCell ref="HA29:HB29"/>
    <mergeCell ref="HC29:HD29"/>
    <mergeCell ref="HE29:HF29"/>
    <mergeCell ref="HG29:HH29"/>
    <mergeCell ref="GQ29:GR29"/>
    <mergeCell ref="GS29:GT29"/>
    <mergeCell ref="GU29:GV29"/>
    <mergeCell ref="GW29:GX29"/>
    <mergeCell ref="GI29:GJ29"/>
    <mergeCell ref="GK29:GL29"/>
    <mergeCell ref="GM29:GN29"/>
    <mergeCell ref="GO29:GP29"/>
    <mergeCell ref="FY29:FZ29"/>
    <mergeCell ref="GC29:GD29"/>
    <mergeCell ref="GE29:GF29"/>
    <mergeCell ref="GG29:GH29"/>
    <mergeCell ref="FQ29:FR29"/>
    <mergeCell ref="FS29:FT29"/>
    <mergeCell ref="FU29:FV29"/>
    <mergeCell ref="FW29:FX29"/>
    <mergeCell ref="FI29:FJ29"/>
    <mergeCell ref="FK29:FL29"/>
    <mergeCell ref="FM29:FN29"/>
    <mergeCell ref="FO29:FP29"/>
    <mergeCell ref="EY29:EZ29"/>
    <mergeCell ref="FA29:FB29"/>
    <mergeCell ref="FE29:FF29"/>
    <mergeCell ref="FG29:FH29"/>
    <mergeCell ref="EQ29:ER29"/>
    <mergeCell ref="ES29:ET29"/>
    <mergeCell ref="EU29:EV29"/>
    <mergeCell ref="EW29:EX29"/>
    <mergeCell ref="EI29:EJ29"/>
    <mergeCell ref="EK29:EL29"/>
    <mergeCell ref="EM29:EN29"/>
    <mergeCell ref="EO29:EP29"/>
    <mergeCell ref="DY29:DZ29"/>
    <mergeCell ref="EA29:EB29"/>
    <mergeCell ref="EC29:ED29"/>
    <mergeCell ref="EG29:EH29"/>
    <mergeCell ref="DQ29:DR29"/>
    <mergeCell ref="DS29:DT29"/>
    <mergeCell ref="DU29:DV29"/>
    <mergeCell ref="DW29:DX29"/>
    <mergeCell ref="DI29:DJ29"/>
    <mergeCell ref="DK29:DL29"/>
    <mergeCell ref="DM29:DN29"/>
    <mergeCell ref="DO29:DP29"/>
    <mergeCell ref="CY29:CZ29"/>
    <mergeCell ref="DA29:DB29"/>
    <mergeCell ref="DC29:DD29"/>
    <mergeCell ref="DE29:DF29"/>
    <mergeCell ref="CQ29:CR29"/>
    <mergeCell ref="CS29:CT29"/>
    <mergeCell ref="CU29:CV29"/>
    <mergeCell ref="CW29:CX29"/>
    <mergeCell ref="CG29:CH29"/>
    <mergeCell ref="CK29:CL29"/>
    <mergeCell ref="CM29:CN29"/>
    <mergeCell ref="CO29:CP29"/>
    <mergeCell ref="BY29:BZ29"/>
    <mergeCell ref="CA29:CB29"/>
    <mergeCell ref="CC29:CD29"/>
    <mergeCell ref="CE29:CF29"/>
    <mergeCell ref="BQ29:BR29"/>
    <mergeCell ref="BS29:BT29"/>
    <mergeCell ref="BU29:BV29"/>
    <mergeCell ref="BW29:BX29"/>
    <mergeCell ref="BG29:BH29"/>
    <mergeCell ref="BI29:BJ29"/>
    <mergeCell ref="BM29:BN29"/>
    <mergeCell ref="BO29:BP29"/>
    <mergeCell ref="AY29:AZ29"/>
    <mergeCell ref="BA29:BB29"/>
    <mergeCell ref="BC29:BD29"/>
    <mergeCell ref="BE29:BF29"/>
    <mergeCell ref="AQ29:AR29"/>
    <mergeCell ref="AS29:AT29"/>
    <mergeCell ref="AU29:AV29"/>
    <mergeCell ref="AW29:AX29"/>
    <mergeCell ref="AG29:AH29"/>
    <mergeCell ref="AI29:AJ29"/>
    <mergeCell ref="AK29:AL29"/>
    <mergeCell ref="AO29:AP29"/>
    <mergeCell ref="L29:M29"/>
    <mergeCell ref="N29:O29"/>
    <mergeCell ref="P29:Q29"/>
    <mergeCell ref="R29:S29"/>
    <mergeCell ref="L28:M28"/>
    <mergeCell ref="N28:O28"/>
    <mergeCell ref="P28:Q28"/>
    <mergeCell ref="R28:S28"/>
    <mergeCell ref="L26:M26"/>
    <mergeCell ref="N26:O26"/>
    <mergeCell ref="P26:Q26"/>
    <mergeCell ref="R26:S26"/>
    <mergeCell ref="L24:M24"/>
    <mergeCell ref="N24:O24"/>
    <mergeCell ref="P24:Q24"/>
    <mergeCell ref="R24:S24"/>
    <mergeCell ref="II21:IJ21"/>
    <mergeCell ref="IK21:IL21"/>
    <mergeCell ref="L22:M22"/>
    <mergeCell ref="N22:O22"/>
    <mergeCell ref="P22:Q22"/>
    <mergeCell ref="R22:S22"/>
    <mergeCell ref="IA21:IB21"/>
    <mergeCell ref="IC21:ID21"/>
    <mergeCell ref="IE21:IF21"/>
    <mergeCell ref="IG21:IH21"/>
    <mergeCell ref="HQ21:HR21"/>
    <mergeCell ref="HS21:HT21"/>
    <mergeCell ref="HU21:HV21"/>
    <mergeCell ref="HY21:HZ21"/>
    <mergeCell ref="HI21:HJ21"/>
    <mergeCell ref="HK21:HL21"/>
    <mergeCell ref="HM21:HN21"/>
    <mergeCell ref="HO21:HP21"/>
    <mergeCell ref="HA21:HB21"/>
    <mergeCell ref="HC21:HD21"/>
    <mergeCell ref="HE21:HF21"/>
    <mergeCell ref="HG21:HH21"/>
    <mergeCell ref="GQ21:GR21"/>
    <mergeCell ref="GS21:GT21"/>
    <mergeCell ref="GU21:GV21"/>
    <mergeCell ref="GW21:GX21"/>
    <mergeCell ref="GI21:GJ21"/>
    <mergeCell ref="GK21:GL21"/>
    <mergeCell ref="GM21:GN21"/>
    <mergeCell ref="GO21:GP21"/>
    <mergeCell ref="FY21:FZ21"/>
    <mergeCell ref="GC21:GD21"/>
    <mergeCell ref="GE21:GF21"/>
    <mergeCell ref="GG21:GH21"/>
    <mergeCell ref="FQ21:FR21"/>
    <mergeCell ref="FS21:FT21"/>
    <mergeCell ref="FU21:FV21"/>
    <mergeCell ref="FW21:FX21"/>
    <mergeCell ref="FI21:FJ21"/>
    <mergeCell ref="FK21:FL21"/>
    <mergeCell ref="FM21:FN21"/>
    <mergeCell ref="FO21:FP21"/>
    <mergeCell ref="EY21:EZ21"/>
    <mergeCell ref="FA21:FB21"/>
    <mergeCell ref="FE21:FF21"/>
    <mergeCell ref="FG21:FH21"/>
    <mergeCell ref="EQ21:ER21"/>
    <mergeCell ref="ES21:ET21"/>
    <mergeCell ref="EU21:EV21"/>
    <mergeCell ref="EW21:EX21"/>
    <mergeCell ref="EI21:EJ21"/>
    <mergeCell ref="EK21:EL21"/>
    <mergeCell ref="EM21:EN21"/>
    <mergeCell ref="EO21:EP21"/>
    <mergeCell ref="DY21:DZ21"/>
    <mergeCell ref="EA21:EB21"/>
    <mergeCell ref="EC21:ED21"/>
    <mergeCell ref="EG21:EH21"/>
    <mergeCell ref="DQ21:DR21"/>
    <mergeCell ref="DS21:DT21"/>
    <mergeCell ref="DU21:DV21"/>
    <mergeCell ref="DW21:DX21"/>
    <mergeCell ref="DI21:DJ21"/>
    <mergeCell ref="DK21:DL21"/>
    <mergeCell ref="DM21:DN21"/>
    <mergeCell ref="DO21:DP21"/>
    <mergeCell ref="CY21:CZ21"/>
    <mergeCell ref="DA21:DB21"/>
    <mergeCell ref="DC21:DD21"/>
    <mergeCell ref="DE21:DF21"/>
    <mergeCell ref="CQ21:CR21"/>
    <mergeCell ref="CS21:CT21"/>
    <mergeCell ref="CU21:CV21"/>
    <mergeCell ref="CW21:CX21"/>
    <mergeCell ref="CG21:CH21"/>
    <mergeCell ref="CK21:CL21"/>
    <mergeCell ref="CM21:CN21"/>
    <mergeCell ref="CO21:CP21"/>
    <mergeCell ref="BY21:BZ21"/>
    <mergeCell ref="CA21:CB21"/>
    <mergeCell ref="CC21:CD21"/>
    <mergeCell ref="CE21:CF21"/>
    <mergeCell ref="BQ21:BR21"/>
    <mergeCell ref="BS21:BT21"/>
    <mergeCell ref="BU21:BV21"/>
    <mergeCell ref="BW21:BX21"/>
    <mergeCell ref="BG21:BH21"/>
    <mergeCell ref="BI21:BJ21"/>
    <mergeCell ref="BM21:BN21"/>
    <mergeCell ref="BO21:BP21"/>
    <mergeCell ref="AY21:AZ21"/>
    <mergeCell ref="BA21:BB21"/>
    <mergeCell ref="BC21:BD21"/>
    <mergeCell ref="BE21:BF21"/>
    <mergeCell ref="AQ21:AR21"/>
    <mergeCell ref="AS21:AT21"/>
    <mergeCell ref="AU21:AV21"/>
    <mergeCell ref="AW21:AX21"/>
    <mergeCell ref="AG21:AH21"/>
    <mergeCell ref="AI21:AJ21"/>
    <mergeCell ref="AK21:AL21"/>
    <mergeCell ref="AO21:AP21"/>
    <mergeCell ref="L21:M21"/>
    <mergeCell ref="N21:O21"/>
    <mergeCell ref="P21:Q21"/>
    <mergeCell ref="R21:S21"/>
    <mergeCell ref="L20:M20"/>
    <mergeCell ref="N20:O20"/>
    <mergeCell ref="P20:Q20"/>
    <mergeCell ref="R20:S20"/>
    <mergeCell ref="L18:M18"/>
    <mergeCell ref="N18:O18"/>
    <mergeCell ref="P18:Q18"/>
    <mergeCell ref="R18:S18"/>
    <mergeCell ref="L16:M16"/>
    <mergeCell ref="N16:O16"/>
    <mergeCell ref="P16:Q16"/>
    <mergeCell ref="R16:S16"/>
    <mergeCell ref="L14:M14"/>
    <mergeCell ref="N14:O14"/>
    <mergeCell ref="P14:Q14"/>
    <mergeCell ref="R14:S14"/>
    <mergeCell ref="L12:M12"/>
    <mergeCell ref="N12:O12"/>
    <mergeCell ref="P12:Q12"/>
    <mergeCell ref="R12:S12"/>
    <mergeCell ref="L11:M11"/>
    <mergeCell ref="N11:O11"/>
    <mergeCell ref="P11:Q11"/>
    <mergeCell ref="R11:S11"/>
    <mergeCell ref="II6:IJ6"/>
    <mergeCell ref="IK6:IL6"/>
    <mergeCell ref="L10:M10"/>
    <mergeCell ref="N10:O10"/>
    <mergeCell ref="P10:Q10"/>
    <mergeCell ref="R10:S10"/>
    <mergeCell ref="HU6:HV6"/>
    <mergeCell ref="HY6:HZ6"/>
    <mergeCell ref="IA6:IB6"/>
    <mergeCell ref="IC6:ID6"/>
    <mergeCell ref="IE6:IF6"/>
    <mergeCell ref="IG6:IH6"/>
    <mergeCell ref="HI6:HJ6"/>
    <mergeCell ref="HK6:HL6"/>
    <mergeCell ref="HM6:HN6"/>
    <mergeCell ref="HO6:HP6"/>
    <mergeCell ref="HQ6:HR6"/>
    <mergeCell ref="HS6:HT6"/>
    <mergeCell ref="HA6:HB6"/>
    <mergeCell ref="HC6:HD6"/>
    <mergeCell ref="HE6:HF6"/>
    <mergeCell ref="HG6:HH6"/>
    <mergeCell ref="GQ6:GR6"/>
    <mergeCell ref="GS6:GT6"/>
    <mergeCell ref="GU6:GV6"/>
    <mergeCell ref="GW6:GX6"/>
    <mergeCell ref="GI6:GJ6"/>
    <mergeCell ref="GK6:GL6"/>
    <mergeCell ref="GM6:GN6"/>
    <mergeCell ref="GO6:GP6"/>
    <mergeCell ref="FY6:FZ6"/>
    <mergeCell ref="GC6:GD6"/>
    <mergeCell ref="GE6:GF6"/>
    <mergeCell ref="GG6:GH6"/>
    <mergeCell ref="FQ6:FR6"/>
    <mergeCell ref="FS6:FT6"/>
    <mergeCell ref="FU6:FV6"/>
    <mergeCell ref="FW6:FX6"/>
    <mergeCell ref="FI6:FJ6"/>
    <mergeCell ref="FK6:FL6"/>
    <mergeCell ref="FM6:FN6"/>
    <mergeCell ref="FO6:FP6"/>
    <mergeCell ref="EY6:EZ6"/>
    <mergeCell ref="FA6:FB6"/>
    <mergeCell ref="FE6:FF6"/>
    <mergeCell ref="FG6:FH6"/>
    <mergeCell ref="EQ6:ER6"/>
    <mergeCell ref="ES6:ET6"/>
    <mergeCell ref="EU6:EV6"/>
    <mergeCell ref="EW6:EX6"/>
    <mergeCell ref="EI6:EJ6"/>
    <mergeCell ref="EK6:EL6"/>
    <mergeCell ref="EM6:EN6"/>
    <mergeCell ref="EO6:EP6"/>
    <mergeCell ref="DY6:DZ6"/>
    <mergeCell ref="EA6:EB6"/>
    <mergeCell ref="EC6:ED6"/>
    <mergeCell ref="EG6:EH6"/>
    <mergeCell ref="DQ6:DR6"/>
    <mergeCell ref="DS6:DT6"/>
    <mergeCell ref="DU6:DV6"/>
    <mergeCell ref="DW6:DX6"/>
    <mergeCell ref="DI6:DJ6"/>
    <mergeCell ref="DK6:DL6"/>
    <mergeCell ref="DM6:DN6"/>
    <mergeCell ref="DO6:DP6"/>
    <mergeCell ref="CY6:CZ6"/>
    <mergeCell ref="DA6:DB6"/>
    <mergeCell ref="DC6:DD6"/>
    <mergeCell ref="DE6:DF6"/>
    <mergeCell ref="CQ6:CR6"/>
    <mergeCell ref="CS6:CT6"/>
    <mergeCell ref="CU6:CV6"/>
    <mergeCell ref="CW6:CX6"/>
    <mergeCell ref="CG6:CH6"/>
    <mergeCell ref="CK6:CL6"/>
    <mergeCell ref="CM6:CN6"/>
    <mergeCell ref="CO6:CP6"/>
    <mergeCell ref="BY6:BZ6"/>
    <mergeCell ref="CA6:CB6"/>
    <mergeCell ref="CC6:CD6"/>
    <mergeCell ref="CE6:CF6"/>
    <mergeCell ref="BQ6:BR6"/>
    <mergeCell ref="BS6:BT6"/>
    <mergeCell ref="BU6:BV6"/>
    <mergeCell ref="BW6:BX6"/>
    <mergeCell ref="BG6:BH6"/>
    <mergeCell ref="BI6:BJ6"/>
    <mergeCell ref="BM6:BN6"/>
    <mergeCell ref="BO6:BP6"/>
    <mergeCell ref="BA6:BB6"/>
    <mergeCell ref="BC6:BD6"/>
    <mergeCell ref="BE6:BF6"/>
    <mergeCell ref="AQ6:AR6"/>
    <mergeCell ref="AS6:AT6"/>
    <mergeCell ref="AU6:AV6"/>
    <mergeCell ref="AW6:AX6"/>
    <mergeCell ref="AF3:AF5"/>
    <mergeCell ref="AY6:AZ6"/>
    <mergeCell ref="P5:Q5"/>
    <mergeCell ref="AG6:AH6"/>
    <mergeCell ref="AI6:AJ6"/>
    <mergeCell ref="AK6:AL6"/>
    <mergeCell ref="A3:A5"/>
    <mergeCell ref="B3:B5"/>
    <mergeCell ref="D3:E3"/>
    <mergeCell ref="F3:G3"/>
    <mergeCell ref="T3:U3"/>
    <mergeCell ref="V3:AE3"/>
    <mergeCell ref="L4:M4"/>
    <mergeCell ref="N4:O4"/>
    <mergeCell ref="L8:M8"/>
    <mergeCell ref="N8:O8"/>
    <mergeCell ref="P8:Q8"/>
    <mergeCell ref="R8:S8"/>
    <mergeCell ref="AO6:AP6"/>
    <mergeCell ref="R5:S5"/>
    <mergeCell ref="L6:M6"/>
    <mergeCell ref="N6:O6"/>
    <mergeCell ref="P6:Q6"/>
    <mergeCell ref="R6:S6"/>
    <mergeCell ref="A17:A18"/>
    <mergeCell ref="A44:A45"/>
    <mergeCell ref="H3:I3"/>
    <mergeCell ref="J3:K3"/>
    <mergeCell ref="L3:O3"/>
    <mergeCell ref="P3:S3"/>
    <mergeCell ref="L5:M5"/>
    <mergeCell ref="N5:O5"/>
    <mergeCell ref="P4:Q4"/>
    <mergeCell ref="R4:S4"/>
  </mergeCells>
  <printOptions/>
  <pageMargins left="0.511811024" right="0.511811024" top="0.787401575" bottom="0.787401575" header="0.31496062" footer="0.31496062"/>
  <pageSetup horizontalDpi="600" verticalDpi="600" orientation="landscape" paperSize="9" scale="90" r:id="rId4"/>
  <drawing r:id="rId3"/>
  <legacyDrawing r:id="rId2"/>
</worksheet>
</file>

<file path=xl/worksheets/sheet6.xml><?xml version="1.0" encoding="utf-8"?>
<worksheet xmlns="http://schemas.openxmlformats.org/spreadsheetml/2006/main" xmlns:r="http://schemas.openxmlformats.org/officeDocument/2006/relationships">
  <dimension ref="A1:BX62"/>
  <sheetViews>
    <sheetView showGridLines="0" zoomScale="75" zoomScaleNormal="75"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2" sqref="A2"/>
    </sheetView>
  </sheetViews>
  <sheetFormatPr defaultColWidth="9.140625" defaultRowHeight="12.75"/>
  <cols>
    <col min="1" max="1" width="8.7109375" style="108" customWidth="1"/>
    <col min="2" max="2" width="20.140625" style="46" customWidth="1"/>
    <col min="3" max="3" width="17.140625" style="47" customWidth="1"/>
    <col min="4" max="4" width="15.140625" style="44" customWidth="1"/>
    <col min="5" max="5" width="19.140625" style="69" customWidth="1"/>
    <col min="6" max="6" width="14.421875" style="44" customWidth="1"/>
    <col min="7" max="7" width="16.57421875" style="69" customWidth="1"/>
    <col min="8" max="8" width="15.28125" style="44" customWidth="1"/>
    <col min="9" max="9" width="15.421875" style="69" customWidth="1"/>
    <col min="10" max="10" width="13.421875" style="44" customWidth="1"/>
    <col min="11" max="11" width="11.140625" style="69" customWidth="1"/>
    <col min="12" max="12" width="9.8515625" style="44" hidden="1" customWidth="1"/>
    <col min="13" max="13" width="7.57421875" style="44" hidden="1" customWidth="1"/>
    <col min="14" max="14" width="9.8515625" style="69" hidden="1" customWidth="1"/>
    <col min="15" max="15" width="6.421875" style="69" hidden="1" customWidth="1"/>
    <col min="16" max="16" width="9.8515625" style="44" hidden="1" customWidth="1"/>
    <col min="17" max="17" width="7.57421875" style="44" hidden="1" customWidth="1"/>
    <col min="18" max="18" width="9.8515625" style="69" hidden="1" customWidth="1"/>
    <col min="19" max="19" width="6.421875" style="69" hidden="1" customWidth="1"/>
    <col min="20" max="20" width="12.00390625" style="44" customWidth="1"/>
    <col min="21" max="21" width="11.00390625" style="69" customWidth="1"/>
    <col min="22" max="22" width="1.8515625" style="69" bestFit="1" customWidth="1"/>
    <col min="23" max="23" width="2.421875" style="69" customWidth="1"/>
    <col min="24" max="24" width="10.28125" style="69" bestFit="1" customWidth="1"/>
    <col min="25" max="25" width="6.28125" style="69" customWidth="1"/>
    <col min="26" max="26" width="6.421875" style="69" customWidth="1"/>
    <col min="27" max="30" width="1.8515625" style="48" bestFit="1" customWidth="1"/>
    <col min="31" max="31" width="3.140625" style="48" bestFit="1" customWidth="1"/>
    <col min="32" max="32" width="25.00390625" style="48" customWidth="1"/>
    <col min="33" max="16384" width="9.140625" style="48" customWidth="1"/>
  </cols>
  <sheetData>
    <row r="1" spans="1:76" s="49" customFormat="1" ht="36" customHeight="1" thickBot="1">
      <c r="A1" s="123"/>
      <c r="B1" s="124"/>
      <c r="C1" s="556"/>
      <c r="D1" s="124"/>
      <c r="E1" s="913"/>
      <c r="F1" s="124"/>
      <c r="G1" s="528"/>
      <c r="H1" s="124"/>
      <c r="I1" s="552"/>
      <c r="J1" s="124"/>
      <c r="K1" s="124"/>
      <c r="L1" s="124"/>
      <c r="M1" s="125"/>
      <c r="N1" s="126"/>
      <c r="O1" s="126"/>
      <c r="P1" s="124"/>
      <c r="Q1" s="124"/>
      <c r="R1" s="124"/>
      <c r="S1" s="125"/>
      <c r="T1" s="525" t="s">
        <v>265</v>
      </c>
      <c r="U1" s="526">
        <v>1.8</v>
      </c>
      <c r="V1" s="126"/>
      <c r="W1" s="126"/>
      <c r="X1" s="126"/>
      <c r="Y1" s="124"/>
      <c r="Z1" s="124"/>
      <c r="AA1" s="124"/>
      <c r="AB1" s="124"/>
      <c r="AC1" s="124"/>
      <c r="AD1" s="124"/>
      <c r="AE1" s="124"/>
      <c r="AF1" s="94"/>
      <c r="AG1" s="99"/>
      <c r="AH1" s="45"/>
      <c r="AI1" s="46"/>
      <c r="AJ1" s="47"/>
      <c r="AK1" s="47"/>
      <c r="AL1" s="47"/>
      <c r="AM1" s="44"/>
      <c r="AN1" s="44"/>
      <c r="AO1" s="44"/>
      <c r="AP1" s="44"/>
      <c r="AQ1" s="44"/>
      <c r="AR1" s="44"/>
      <c r="AS1" s="44"/>
      <c r="AT1" s="45"/>
      <c r="AU1" s="45"/>
      <c r="AV1" s="46"/>
      <c r="AW1" s="47"/>
      <c r="AX1" s="47"/>
      <c r="AY1" s="47"/>
      <c r="AZ1" s="44"/>
      <c r="BA1" s="44"/>
      <c r="BB1" s="44"/>
      <c r="BC1" s="44"/>
      <c r="BD1" s="44"/>
      <c r="BE1" s="44"/>
      <c r="BF1" s="44"/>
      <c r="BG1" s="48"/>
      <c r="BH1" s="48"/>
      <c r="BI1" s="48"/>
      <c r="BJ1" s="48"/>
      <c r="BK1" s="48"/>
      <c r="BL1" s="48"/>
      <c r="BM1" s="48"/>
      <c r="BN1" s="48"/>
      <c r="BO1" s="48"/>
      <c r="BP1" s="48"/>
      <c r="BQ1" s="48"/>
      <c r="BR1" s="48"/>
      <c r="BS1" s="48"/>
      <c r="BT1" s="48"/>
      <c r="BU1" s="48"/>
      <c r="BV1" s="48"/>
      <c r="BW1" s="48"/>
      <c r="BX1" s="48"/>
    </row>
    <row r="2" spans="1:33" s="9" customFormat="1" ht="16.5" thickBot="1">
      <c r="A2" s="114" t="s">
        <v>574</v>
      </c>
      <c r="B2" s="115"/>
      <c r="C2" s="116"/>
      <c r="D2" s="116"/>
      <c r="E2" s="116"/>
      <c r="F2" s="41"/>
      <c r="G2" s="41"/>
      <c r="H2" s="41"/>
      <c r="I2" s="41"/>
      <c r="J2" s="41"/>
      <c r="K2" s="41"/>
      <c r="L2" s="41"/>
      <c r="M2" s="41"/>
      <c r="N2" s="41"/>
      <c r="O2" s="41"/>
      <c r="P2" s="41"/>
      <c r="Q2" s="41"/>
      <c r="R2" s="41"/>
      <c r="S2" s="41"/>
      <c r="T2" s="425" t="s">
        <v>433</v>
      </c>
      <c r="U2" s="463">
        <v>1.7655</v>
      </c>
      <c r="V2" s="425" t="s">
        <v>266</v>
      </c>
      <c r="W2" s="41"/>
      <c r="X2" s="41"/>
      <c r="Y2" s="41"/>
      <c r="Z2" s="533">
        <v>1.6727</v>
      </c>
      <c r="AA2" s="41"/>
      <c r="AB2" s="41"/>
      <c r="AC2" s="41"/>
      <c r="AD2" s="41"/>
      <c r="AE2" s="41"/>
      <c r="AF2" s="41"/>
      <c r="AG2" s="41"/>
    </row>
    <row r="3" spans="1:27" s="256" customFormat="1" ht="13.5" thickBot="1">
      <c r="A3" s="1402" t="s">
        <v>589</v>
      </c>
      <c r="B3" s="1391" t="s">
        <v>324</v>
      </c>
      <c r="C3" s="1407" t="s">
        <v>590</v>
      </c>
      <c r="D3" s="1409" t="s">
        <v>600</v>
      </c>
      <c r="E3" s="1410"/>
      <c r="F3" s="1410"/>
      <c r="G3" s="1410"/>
      <c r="H3" s="1410"/>
      <c r="I3" s="1410"/>
      <c r="J3" s="1410"/>
      <c r="K3" s="1410"/>
      <c r="L3" s="283"/>
      <c r="M3" s="283"/>
      <c r="N3" s="283"/>
      <c r="O3" s="283"/>
      <c r="P3" s="283"/>
      <c r="Q3" s="283"/>
      <c r="R3" s="283"/>
      <c r="S3" s="284"/>
      <c r="T3" s="425" t="s">
        <v>351</v>
      </c>
      <c r="U3" s="424">
        <v>1.7088</v>
      </c>
      <c r="V3" s="425" t="s">
        <v>267</v>
      </c>
      <c r="W3" s="2"/>
      <c r="X3" s="2"/>
      <c r="Y3" s="2"/>
      <c r="Z3" s="533">
        <v>1.7044</v>
      </c>
      <c r="AA3" s="2"/>
    </row>
    <row r="4" spans="1:27" s="256" customFormat="1" ht="12.75">
      <c r="A4" s="1403"/>
      <c r="B4" s="1405"/>
      <c r="C4" s="1408"/>
      <c r="D4" s="1396" t="s">
        <v>282</v>
      </c>
      <c r="E4" s="1411"/>
      <c r="F4" s="1396" t="s">
        <v>283</v>
      </c>
      <c r="G4" s="1411"/>
      <c r="H4" s="1396" t="s">
        <v>284</v>
      </c>
      <c r="I4" s="1411"/>
      <c r="J4" s="1396" t="s">
        <v>352</v>
      </c>
      <c r="K4" s="1411"/>
      <c r="L4" s="1398" t="s">
        <v>591</v>
      </c>
      <c r="M4" s="1399"/>
      <c r="N4" s="1399"/>
      <c r="O4" s="1400"/>
      <c r="P4" s="1398" t="s">
        <v>592</v>
      </c>
      <c r="Q4" s="1399"/>
      <c r="R4" s="1399"/>
      <c r="S4" s="1400"/>
      <c r="T4" s="1396" t="s">
        <v>353</v>
      </c>
      <c r="U4" s="1397"/>
      <c r="V4" s="2"/>
      <c r="W4" s="2"/>
      <c r="X4" s="2"/>
      <c r="Y4" s="2"/>
      <c r="Z4" s="2"/>
      <c r="AA4" s="2"/>
    </row>
    <row r="5" spans="1:27" s="256" customFormat="1" ht="12.75">
      <c r="A5" s="1403"/>
      <c r="B5" s="1405"/>
      <c r="C5" s="379" t="s">
        <v>72</v>
      </c>
      <c r="D5" s="379" t="s">
        <v>587</v>
      </c>
      <c r="E5" s="234" t="s">
        <v>593</v>
      </c>
      <c r="F5" s="379" t="s">
        <v>587</v>
      </c>
      <c r="G5" s="234" t="s">
        <v>593</v>
      </c>
      <c r="H5" s="379" t="s">
        <v>587</v>
      </c>
      <c r="I5" s="234" t="s">
        <v>593</v>
      </c>
      <c r="J5" s="379" t="s">
        <v>587</v>
      </c>
      <c r="K5" s="380" t="s">
        <v>593</v>
      </c>
      <c r="L5" s="1334" t="s">
        <v>587</v>
      </c>
      <c r="M5" s="1334"/>
      <c r="N5" s="1387" t="s">
        <v>593</v>
      </c>
      <c r="O5" s="1388"/>
      <c r="P5" s="1334" t="s">
        <v>587</v>
      </c>
      <c r="Q5" s="1334"/>
      <c r="R5" s="1387" t="s">
        <v>593</v>
      </c>
      <c r="S5" s="1388"/>
      <c r="T5" s="379" t="s">
        <v>587</v>
      </c>
      <c r="U5" s="399" t="s">
        <v>593</v>
      </c>
      <c r="V5" s="2"/>
      <c r="W5" s="2"/>
      <c r="X5" s="2"/>
      <c r="Y5" s="2"/>
      <c r="Z5" s="2"/>
      <c r="AA5" s="2"/>
    </row>
    <row r="6" spans="1:27" s="256" customFormat="1" ht="12.75">
      <c r="A6" s="1404"/>
      <c r="B6" s="1406"/>
      <c r="C6" s="381" t="s">
        <v>596</v>
      </c>
      <c r="D6" s="381" t="s">
        <v>596</v>
      </c>
      <c r="E6" s="382" t="s">
        <v>596</v>
      </c>
      <c r="F6" s="381" t="s">
        <v>596</v>
      </c>
      <c r="G6" s="382" t="s">
        <v>596</v>
      </c>
      <c r="H6" s="381" t="s">
        <v>596</v>
      </c>
      <c r="I6" s="382" t="s">
        <v>596</v>
      </c>
      <c r="J6" s="381" t="s">
        <v>596</v>
      </c>
      <c r="K6" s="382" t="s">
        <v>596</v>
      </c>
      <c r="L6" s="381" t="s">
        <v>596</v>
      </c>
      <c r="M6" s="285" t="s">
        <v>595</v>
      </c>
      <c r="N6" s="382" t="s">
        <v>596</v>
      </c>
      <c r="O6" s="383" t="s">
        <v>595</v>
      </c>
      <c r="P6" s="381" t="s">
        <v>596</v>
      </c>
      <c r="Q6" s="285" t="s">
        <v>595</v>
      </c>
      <c r="R6" s="382" t="s">
        <v>596</v>
      </c>
      <c r="S6" s="383" t="s">
        <v>595</v>
      </c>
      <c r="T6" s="381" t="s">
        <v>596</v>
      </c>
      <c r="U6" s="400" t="s">
        <v>596</v>
      </c>
      <c r="V6" s="2"/>
      <c r="W6" s="2"/>
      <c r="X6" s="2"/>
      <c r="Y6" s="2"/>
      <c r="Z6" s="2"/>
      <c r="AA6" s="2"/>
    </row>
    <row r="7" spans="1:27" s="244" customFormat="1" ht="38.25">
      <c r="A7" s="401">
        <v>1</v>
      </c>
      <c r="B7" s="265" t="str">
        <f>'3a. Produtos-Fis (Outputs-PMR)'!B6</f>
        <v>GESTÃO ESTRATÉGICA INTEGRADA</v>
      </c>
      <c r="C7" s="286">
        <f>C9</f>
        <v>137779</v>
      </c>
      <c r="D7" s="286">
        <f>D9</f>
        <v>1111</v>
      </c>
      <c r="E7" s="287">
        <f>E9</f>
        <v>0</v>
      </c>
      <c r="F7" s="286">
        <f>F9</f>
        <v>57778</v>
      </c>
      <c r="G7" s="287">
        <f>SUM(G9)</f>
        <v>0</v>
      </c>
      <c r="H7" s="286">
        <f>H9</f>
        <v>31556</v>
      </c>
      <c r="I7" s="287"/>
      <c r="J7" s="286">
        <f>J9</f>
        <v>31556</v>
      </c>
      <c r="K7" s="287"/>
      <c r="L7" s="286"/>
      <c r="M7" s="288"/>
      <c r="N7" s="286"/>
      <c r="O7" s="393"/>
      <c r="P7" s="286"/>
      <c r="Q7" s="288"/>
      <c r="R7" s="286"/>
      <c r="S7" s="394"/>
      <c r="T7" s="286">
        <f>T9</f>
        <v>15778</v>
      </c>
      <c r="U7" s="402"/>
      <c r="V7" s="291"/>
      <c r="W7" s="291"/>
      <c r="X7" s="291"/>
      <c r="Y7" s="291"/>
      <c r="Z7" s="291"/>
      <c r="AA7" s="291"/>
    </row>
    <row r="8" spans="1:27" s="256" customFormat="1" ht="44.25" customHeight="1">
      <c r="A8" s="401"/>
      <c r="B8" s="292" t="str">
        <f>'3a. Produtos-Fis (Outputs-PMR)'!B8</f>
        <v>Escritório de projeto</v>
      </c>
      <c r="C8" s="293">
        <f>D8+F8+H8+J8+T8</f>
        <v>0</v>
      </c>
      <c r="D8" s="293"/>
      <c r="E8" s="287">
        <v>0</v>
      </c>
      <c r="F8" s="293"/>
      <c r="G8" s="287">
        <v>0</v>
      </c>
      <c r="H8" s="293"/>
      <c r="I8" s="287"/>
      <c r="J8" s="293"/>
      <c r="K8" s="287"/>
      <c r="L8" s="293"/>
      <c r="M8" s="294"/>
      <c r="N8" s="287"/>
      <c r="O8" s="289"/>
      <c r="P8" s="293"/>
      <c r="Q8" s="294"/>
      <c r="R8" s="287"/>
      <c r="S8" s="290"/>
      <c r="T8" s="293"/>
      <c r="U8" s="402"/>
      <c r="V8" s="2"/>
      <c r="W8" s="2"/>
      <c r="X8" s="2"/>
      <c r="Y8" s="2"/>
      <c r="Z8" s="2"/>
      <c r="AA8" s="2"/>
    </row>
    <row r="9" spans="1:27" s="256" customFormat="1" ht="68.25" customHeight="1">
      <c r="A9" s="401"/>
      <c r="B9" s="292" t="str">
        <f>'3a. Produtos-Fis (Outputs-PMR)'!B9</f>
        <v>Programa de Cooperação Interinstitucional Nacional e Internacional implantado</v>
      </c>
      <c r="C9" s="293">
        <f>D9+F9+H9+J9+T9</f>
        <v>137779</v>
      </c>
      <c r="D9" s="293">
        <v>1111</v>
      </c>
      <c r="E9" s="287">
        <v>0</v>
      </c>
      <c r="F9" s="293">
        <v>57778</v>
      </c>
      <c r="G9" s="287">
        <v>0</v>
      </c>
      <c r="H9" s="293">
        <v>31556</v>
      </c>
      <c r="I9" s="287"/>
      <c r="J9" s="293">
        <v>31556</v>
      </c>
      <c r="K9" s="287"/>
      <c r="L9" s="293"/>
      <c r="M9" s="294"/>
      <c r="N9" s="287"/>
      <c r="O9" s="289"/>
      <c r="P9" s="293"/>
      <c r="Q9" s="294"/>
      <c r="R9" s="287"/>
      <c r="S9" s="290"/>
      <c r="T9" s="293">
        <v>15778</v>
      </c>
      <c r="U9" s="402"/>
      <c r="V9" s="2"/>
      <c r="W9" s="2"/>
      <c r="X9" s="2"/>
      <c r="Y9" s="2"/>
      <c r="Z9" s="2"/>
      <c r="AA9" s="2"/>
    </row>
    <row r="10" spans="1:27" s="244" customFormat="1" ht="51">
      <c r="A10" s="403">
        <v>2</v>
      </c>
      <c r="B10" s="295" t="str">
        <f>'3a. Produtos-Fis (Outputs-PMR)'!B12</f>
        <v>ADMINISTRAÇÃO TRIBUTÁRIA E CONTENCIOSO FISCAL</v>
      </c>
      <c r="C10" s="296">
        <f>C11+C12+C13+C14+C15+C16+C17+C18</f>
        <v>36280534.44444445</v>
      </c>
      <c r="D10" s="296">
        <f>D11+D12+D13+D14+D15+D16+D17+D18</f>
        <v>2978965.5555555555</v>
      </c>
      <c r="E10" s="297">
        <f>E11+E12+E13+E14+E15+E16+E17+E18</f>
        <v>358251.404494382</v>
      </c>
      <c r="F10" s="296">
        <f>F11+F12+F13+F14+F15+F16+F17+F18</f>
        <v>22459791.11111111</v>
      </c>
      <c r="G10" s="298">
        <f>SUM(G11:G18)</f>
        <v>762671.5639583517</v>
      </c>
      <c r="H10" s="296">
        <f>H11+H12+H13+H14+H15+H16+H17+H18</f>
        <v>10841777.777777778</v>
      </c>
      <c r="I10" s="298"/>
      <c r="J10" s="296">
        <f>J11+J12+J13+J14+J15+J16+J17+J18</f>
        <v>0</v>
      </c>
      <c r="K10" s="298"/>
      <c r="L10" s="296"/>
      <c r="M10" s="299"/>
      <c r="N10" s="395"/>
      <c r="O10" s="394"/>
      <c r="P10" s="296"/>
      <c r="Q10" s="299"/>
      <c r="R10" s="395"/>
      <c r="S10" s="394"/>
      <c r="T10" s="296">
        <f>T11+T12+T13+T14+T15+T16+T17+T18</f>
        <v>0</v>
      </c>
      <c r="U10" s="404"/>
      <c r="V10" s="291"/>
      <c r="W10" s="291"/>
      <c r="X10" s="291"/>
      <c r="Y10" s="291"/>
      <c r="Z10" s="291"/>
      <c r="AA10" s="291"/>
    </row>
    <row r="11" spans="1:27" s="256" customFormat="1" ht="87.75" customHeight="1">
      <c r="A11" s="403"/>
      <c r="B11" s="292" t="str">
        <f>'3a. Produtos-Fis (Outputs-PMR)'!B13</f>
        <v>Modelo de Gestão dos Postos Fiscais de Grande Porte com leitura de imagens de carga de veículos implantado</v>
      </c>
      <c r="C11" s="300">
        <f>D11+F11+H11+J11+T11</f>
        <v>14569624.444444444</v>
      </c>
      <c r="D11" s="300">
        <v>0</v>
      </c>
      <c r="E11" s="297">
        <v>0</v>
      </c>
      <c r="F11" s="296">
        <f>(21197024+5028300)/1.8</f>
        <v>14569624.444444444</v>
      </c>
      <c r="G11" s="298">
        <v>0</v>
      </c>
      <c r="H11" s="527"/>
      <c r="I11" s="298"/>
      <c r="J11" s="527"/>
      <c r="K11" s="298"/>
      <c r="L11" s="300"/>
      <c r="M11" s="294"/>
      <c r="N11" s="298"/>
      <c r="O11" s="290"/>
      <c r="P11" s="300"/>
      <c r="Q11" s="294"/>
      <c r="R11" s="298"/>
      <c r="S11" s="290"/>
      <c r="T11" s="300">
        <v>0</v>
      </c>
      <c r="U11" s="404"/>
      <c r="V11" s="2"/>
      <c r="W11" s="2"/>
      <c r="X11" s="2"/>
      <c r="Y11" s="2"/>
      <c r="Z11" s="2"/>
      <c r="AA11" s="2"/>
    </row>
    <row r="12" spans="1:27" s="256" customFormat="1" ht="135" customHeight="1">
      <c r="A12" s="403"/>
      <c r="B12" s="529" t="str">
        <f>'3a. Produtos-Fis (Outputs-PMR)'!B15</f>
        <v>Modelo de Gestão dos  Postos Fiscais de Médio e Pequeno Porte, dos Especiais e da Região Metropolitana com novo modelo de gestão e/ou leitura de imagens de carga de veículos implantado</v>
      </c>
      <c r="C12" s="530">
        <f aca="true" t="shared" si="0" ref="C12:C18">D12+F12+H12+J12+T12</f>
        <v>10841777.777777778</v>
      </c>
      <c r="D12" s="530">
        <v>0</v>
      </c>
      <c r="E12" s="531">
        <v>0</v>
      </c>
      <c r="F12" s="530">
        <v>0</v>
      </c>
      <c r="G12" s="532">
        <v>0</v>
      </c>
      <c r="H12" s="530">
        <f>(13876100+2909500+2729600)/1.8</f>
        <v>10841777.777777778</v>
      </c>
      <c r="I12" s="298"/>
      <c r="J12" s="300">
        <v>0</v>
      </c>
      <c r="K12" s="298"/>
      <c r="L12" s="300"/>
      <c r="M12" s="294"/>
      <c r="N12" s="298"/>
      <c r="O12" s="290"/>
      <c r="P12" s="300"/>
      <c r="Q12" s="294"/>
      <c r="R12" s="298"/>
      <c r="S12" s="290"/>
      <c r="T12" s="300">
        <v>0</v>
      </c>
      <c r="U12" s="404"/>
      <c r="V12" s="2"/>
      <c r="W12" s="2"/>
      <c r="X12" s="2"/>
      <c r="Y12" s="2"/>
      <c r="Z12" s="2"/>
      <c r="AA12" s="2"/>
    </row>
    <row r="13" spans="1:27" s="256" customFormat="1" ht="83.25" customHeight="1">
      <c r="A13" s="1182" t="s">
        <v>1198</v>
      </c>
      <c r="B13" s="1174" t="str">
        <f>'3a. Produtos-Fis (Outputs-PMR)'!B17</f>
        <v>Sistemática de monitoramento das operações de emissão de cupons fiscais implantada</v>
      </c>
      <c r="C13" s="1192">
        <f t="shared" si="0"/>
        <v>5910833.333333333</v>
      </c>
      <c r="D13" s="1175">
        <v>0</v>
      </c>
      <c r="E13" s="1176">
        <v>0</v>
      </c>
      <c r="F13" s="1192">
        <f>10639500/1.8</f>
        <v>5910833.333333333</v>
      </c>
      <c r="G13" s="1177">
        <v>0</v>
      </c>
      <c r="H13" s="1178"/>
      <c r="I13" s="1177"/>
      <c r="J13" s="1175">
        <v>0</v>
      </c>
      <c r="K13" s="1177"/>
      <c r="L13" s="1175"/>
      <c r="M13" s="1179"/>
      <c r="N13" s="1177"/>
      <c r="O13" s="1180"/>
      <c r="P13" s="1175"/>
      <c r="Q13" s="1179"/>
      <c r="R13" s="1177"/>
      <c r="S13" s="1180"/>
      <c r="T13" s="1175">
        <v>0</v>
      </c>
      <c r="U13" s="1181"/>
      <c r="V13" s="2"/>
      <c r="W13" s="2"/>
      <c r="X13" s="2"/>
      <c r="Y13" s="2"/>
      <c r="Z13" s="2"/>
      <c r="AA13" s="2"/>
    </row>
    <row r="14" spans="1:27" s="256" customFormat="1" ht="159" customHeight="1">
      <c r="A14" s="403"/>
      <c r="B14" s="292" t="str">
        <f>'3a. Produtos-Fis (Outputs-PMR)'!B19</f>
        <v>Novas unidades de apoio a fiscalização instaladas: (a) Central de gerenciamento eletrônico de documentos e imagens; (b) Centro Integrado de Operações Fiscais; (c) Centro de Comando e Controle de ações de fiscalização; (d) Centro de Inteligência Fiscal.</v>
      </c>
      <c r="C14" s="300">
        <f t="shared" si="0"/>
        <v>1979333.3333333333</v>
      </c>
      <c r="D14" s="300">
        <v>0</v>
      </c>
      <c r="E14" s="297">
        <v>0</v>
      </c>
      <c r="F14" s="530">
        <f>(1260000+1130700+942000+230100)/U1</f>
        <v>1979333.3333333333</v>
      </c>
      <c r="G14" s="298">
        <v>0</v>
      </c>
      <c r="H14" s="527"/>
      <c r="I14" s="298"/>
      <c r="J14" s="300">
        <v>0</v>
      </c>
      <c r="K14" s="298"/>
      <c r="L14" s="300"/>
      <c r="M14" s="294"/>
      <c r="N14" s="298"/>
      <c r="O14" s="290"/>
      <c r="P14" s="300"/>
      <c r="Q14" s="294"/>
      <c r="R14" s="298"/>
      <c r="S14" s="290"/>
      <c r="T14" s="300">
        <v>0</v>
      </c>
      <c r="U14" s="404"/>
      <c r="V14" s="2"/>
      <c r="W14" s="2"/>
      <c r="X14" s="2"/>
      <c r="Y14" s="2"/>
      <c r="Z14" s="2"/>
      <c r="AA14" s="2"/>
    </row>
    <row r="15" spans="1:27" s="256" customFormat="1" ht="69" customHeight="1">
      <c r="A15" s="405"/>
      <c r="B15" s="292" t="str">
        <f>'3a. Produtos-Fis (Outputs-PMR)'!B21</f>
        <v>Cadastro estadual e cadastros da Receita Federal e da Junta Comercial do Estado do Ceará sincronizados</v>
      </c>
      <c r="C15" s="300">
        <f t="shared" si="0"/>
        <v>746354.4444444444</v>
      </c>
      <c r="D15" s="300">
        <v>746354.4444444444</v>
      </c>
      <c r="E15" s="297">
        <v>0</v>
      </c>
      <c r="F15" s="300">
        <v>0</v>
      </c>
      <c r="G15" s="298">
        <f>856409.9/U2</f>
        <v>485080.65703766636</v>
      </c>
      <c r="H15" s="300">
        <v>0</v>
      </c>
      <c r="I15" s="298"/>
      <c r="J15" s="300">
        <v>0</v>
      </c>
      <c r="K15" s="298"/>
      <c r="L15" s="300"/>
      <c r="M15" s="294"/>
      <c r="N15" s="298"/>
      <c r="O15" s="290"/>
      <c r="P15" s="300"/>
      <c r="Q15" s="294"/>
      <c r="R15" s="298"/>
      <c r="S15" s="290"/>
      <c r="T15" s="300">
        <v>0</v>
      </c>
      <c r="U15" s="404"/>
      <c r="V15" s="2"/>
      <c r="W15" s="2"/>
      <c r="X15" s="2"/>
      <c r="Y15" s="2"/>
      <c r="Z15" s="2"/>
      <c r="AA15" s="2"/>
    </row>
    <row r="16" spans="1:27" s="256" customFormat="1" ht="51">
      <c r="A16" s="405"/>
      <c r="B16" s="292" t="str">
        <f>'3a. Produtos-Fis (Outputs-PMR)'!B23</f>
        <v>Nota fiscal eletrônica e escrituração fiscal digital implantados</v>
      </c>
      <c r="C16" s="300">
        <f t="shared" si="0"/>
        <v>379800</v>
      </c>
      <c r="D16" s="300">
        <v>379800</v>
      </c>
      <c r="E16" s="297">
        <v>0</v>
      </c>
      <c r="F16" s="300">
        <v>0</v>
      </c>
      <c r="G16" s="298">
        <f>(67895.08/U2)+(400000/Z2)</f>
        <v>277590.90692068543</v>
      </c>
      <c r="H16" s="300">
        <v>0</v>
      </c>
      <c r="I16" s="298"/>
      <c r="J16" s="300">
        <v>0</v>
      </c>
      <c r="K16" s="298"/>
      <c r="L16" s="300"/>
      <c r="M16" s="294"/>
      <c r="N16" s="298"/>
      <c r="O16" s="290"/>
      <c r="P16" s="300"/>
      <c r="Q16" s="294"/>
      <c r="R16" s="298"/>
      <c r="S16" s="290"/>
      <c r="T16" s="300">
        <v>0</v>
      </c>
      <c r="U16" s="404"/>
      <c r="V16" s="2"/>
      <c r="W16" s="2"/>
      <c r="X16" s="2"/>
      <c r="Y16" s="2"/>
      <c r="Z16" s="2"/>
      <c r="AA16" s="2"/>
    </row>
    <row r="17" spans="1:27" s="256" customFormat="1" ht="51">
      <c r="A17" s="405"/>
      <c r="B17" s="292" t="str">
        <f>'3a. Produtos-Fis (Outputs-PMR)'!B25</f>
        <v>Sistema Público de Escrituração digital – SPED Fiscal implantado</v>
      </c>
      <c r="C17" s="300">
        <f t="shared" si="0"/>
        <v>978444.4444444444</v>
      </c>
      <c r="D17" s="300">
        <v>978444.4444444444</v>
      </c>
      <c r="E17" s="297">
        <v>0</v>
      </c>
      <c r="F17" s="300">
        <v>0</v>
      </c>
      <c r="G17" s="298"/>
      <c r="H17" s="300">
        <v>0</v>
      </c>
      <c r="I17" s="298"/>
      <c r="J17" s="300">
        <v>0</v>
      </c>
      <c r="K17" s="298"/>
      <c r="L17" s="300"/>
      <c r="M17" s="294"/>
      <c r="N17" s="298"/>
      <c r="O17" s="290"/>
      <c r="P17" s="300"/>
      <c r="Q17" s="294"/>
      <c r="R17" s="298"/>
      <c r="S17" s="290"/>
      <c r="T17" s="300">
        <v>0</v>
      </c>
      <c r="U17" s="404"/>
      <c r="V17" s="2"/>
      <c r="W17" s="2"/>
      <c r="X17" s="2"/>
      <c r="Y17" s="2"/>
      <c r="Z17" s="2"/>
      <c r="AA17" s="2"/>
    </row>
    <row r="18" spans="1:27" s="256" customFormat="1" ht="55.5" customHeight="1">
      <c r="A18" s="405"/>
      <c r="B18" s="292" t="str">
        <f>'3a. Produtos-Fis (Outputs-PMR)'!B27</f>
        <v>Sistema Público de Escrituração digital – SPED Contábil implantado</v>
      </c>
      <c r="C18" s="300">
        <f t="shared" si="0"/>
        <v>874366.6666666666</v>
      </c>
      <c r="D18" s="300">
        <v>874366.6666666666</v>
      </c>
      <c r="E18" s="297">
        <f>(612180)/U3</f>
        <v>358251.404494382</v>
      </c>
      <c r="F18" s="300">
        <v>0</v>
      </c>
      <c r="G18" s="298"/>
      <c r="H18" s="300">
        <v>0</v>
      </c>
      <c r="I18" s="298"/>
      <c r="J18" s="300">
        <v>0</v>
      </c>
      <c r="K18" s="298"/>
      <c r="L18" s="300"/>
      <c r="M18" s="294"/>
      <c r="N18" s="298"/>
      <c r="O18" s="290"/>
      <c r="P18" s="300"/>
      <c r="Q18" s="294"/>
      <c r="R18" s="298"/>
      <c r="S18" s="290"/>
      <c r="T18" s="300">
        <v>0</v>
      </c>
      <c r="U18" s="404"/>
      <c r="V18" s="2"/>
      <c r="W18" s="2"/>
      <c r="X18" s="2"/>
      <c r="Y18" s="2"/>
      <c r="Z18" s="2"/>
      <c r="AA18" s="2"/>
    </row>
    <row r="19" spans="1:27" s="244" customFormat="1" ht="63.75">
      <c r="A19" s="403">
        <v>3</v>
      </c>
      <c r="B19" s="295" t="str">
        <f>'3a. Produtos-Fis (Outputs-PMR)'!B29</f>
        <v>ADMINISTRAÇÃO FINANCEIRA, PATRIMÔNIO E CONTROLE INTERNO</v>
      </c>
      <c r="C19" s="296">
        <f>C20+C22+C21</f>
        <v>1112689</v>
      </c>
      <c r="D19" s="296">
        <f>D20+D22+D21</f>
        <v>131503</v>
      </c>
      <c r="E19" s="297">
        <f>E20+E22+E21</f>
        <v>0</v>
      </c>
      <c r="F19" s="296">
        <f>F20+F22+F21</f>
        <v>981186</v>
      </c>
      <c r="G19" s="298">
        <f>SUM(G20:G22)</f>
        <v>29277.164984745366</v>
      </c>
      <c r="H19" s="296">
        <f>H20+H22+H21</f>
        <v>0</v>
      </c>
      <c r="I19" s="298"/>
      <c r="J19" s="296">
        <f>J20+J22+J21</f>
        <v>0</v>
      </c>
      <c r="K19" s="298"/>
      <c r="L19" s="296"/>
      <c r="M19" s="299"/>
      <c r="N19" s="395"/>
      <c r="O19" s="394"/>
      <c r="P19" s="296"/>
      <c r="Q19" s="299"/>
      <c r="R19" s="395"/>
      <c r="S19" s="394"/>
      <c r="T19" s="296">
        <f>T20+T22+T21</f>
        <v>0</v>
      </c>
      <c r="U19" s="404"/>
      <c r="V19" s="291"/>
      <c r="W19" s="291"/>
      <c r="X19" s="291"/>
      <c r="Y19" s="291"/>
      <c r="Z19" s="291"/>
      <c r="AA19" s="291"/>
    </row>
    <row r="20" spans="1:27" s="256" customFormat="1" ht="75" customHeight="1">
      <c r="A20" s="1182" t="s">
        <v>1360</v>
      </c>
      <c r="B20" s="1191" t="str">
        <f>'3a. Produtos-Fis (Outputs-PMR)'!B30</f>
        <v>Novo modelo de gestão da dívida pública implantada</v>
      </c>
      <c r="C20" s="1192">
        <f>D20+F20+H20+J20+T20</f>
        <v>488600</v>
      </c>
      <c r="D20" s="1175">
        <v>0</v>
      </c>
      <c r="E20" s="1176">
        <v>0</v>
      </c>
      <c r="F20" s="1192">
        <v>488600</v>
      </c>
      <c r="G20" s="1177"/>
      <c r="H20" s="1175">
        <v>0</v>
      </c>
      <c r="I20" s="1177"/>
      <c r="J20" s="1175">
        <v>0</v>
      </c>
      <c r="K20" s="1177"/>
      <c r="L20" s="1175"/>
      <c r="M20" s="1179"/>
      <c r="N20" s="1177"/>
      <c r="O20" s="1180"/>
      <c r="P20" s="1175"/>
      <c r="Q20" s="1179"/>
      <c r="R20" s="1177"/>
      <c r="S20" s="1180"/>
      <c r="T20" s="1175">
        <v>0</v>
      </c>
      <c r="U20" s="1181"/>
      <c r="V20" s="2"/>
      <c r="W20" s="2"/>
      <c r="X20" s="2"/>
      <c r="Y20" s="2"/>
      <c r="Z20" s="2"/>
      <c r="AA20" s="2"/>
    </row>
    <row r="21" spans="1:27" s="256" customFormat="1" ht="38.25">
      <c r="A21" s="403"/>
      <c r="B21" s="301" t="str">
        <f>'3a. Produtos-Fis (Outputs-PMR)'!B33</f>
        <v>Modelo de gestão do ingresso de ativos implantado</v>
      </c>
      <c r="C21" s="300">
        <f>D21+F21+H21+J21+T21</f>
        <v>219800</v>
      </c>
      <c r="D21" s="300">
        <v>30431</v>
      </c>
      <c r="E21" s="297">
        <v>0</v>
      </c>
      <c r="F21" s="300">
        <v>189369</v>
      </c>
      <c r="G21" s="298">
        <f>49900/Z3</f>
        <v>29277.164984745366</v>
      </c>
      <c r="H21" s="300"/>
      <c r="I21" s="298"/>
      <c r="J21" s="300">
        <v>0</v>
      </c>
      <c r="K21" s="298"/>
      <c r="L21" s="300"/>
      <c r="M21" s="294"/>
      <c r="N21" s="298"/>
      <c r="O21" s="290"/>
      <c r="P21" s="300"/>
      <c r="Q21" s="294"/>
      <c r="R21" s="298"/>
      <c r="S21" s="290"/>
      <c r="T21" s="300"/>
      <c r="U21" s="404"/>
      <c r="V21" s="2"/>
      <c r="W21" s="2"/>
      <c r="X21" s="2"/>
      <c r="Y21" s="2"/>
      <c r="Z21" s="2"/>
      <c r="AA21" s="2"/>
    </row>
    <row r="22" spans="1:27" s="256" customFormat="1" ht="51">
      <c r="A22" s="403"/>
      <c r="B22" s="301" t="str">
        <f>'3a. Produtos-Fis (Outputs-PMR)'!B35</f>
        <v>Novo modelo de gestão de precatórios implantado</v>
      </c>
      <c r="C22" s="300">
        <f>D22+F22+H22+J22+T22</f>
        <v>404289</v>
      </c>
      <c r="D22" s="300">
        <v>101072</v>
      </c>
      <c r="E22" s="297">
        <v>0</v>
      </c>
      <c r="F22" s="300">
        <v>303217</v>
      </c>
      <c r="G22" s="298">
        <v>0</v>
      </c>
      <c r="H22" s="300"/>
      <c r="I22" s="298"/>
      <c r="J22" s="300">
        <v>0</v>
      </c>
      <c r="K22" s="298"/>
      <c r="L22" s="300"/>
      <c r="M22" s="294"/>
      <c r="N22" s="298"/>
      <c r="O22" s="290"/>
      <c r="P22" s="300"/>
      <c r="Q22" s="294"/>
      <c r="R22" s="298"/>
      <c r="S22" s="290"/>
      <c r="T22" s="300">
        <v>0</v>
      </c>
      <c r="U22" s="404"/>
      <c r="V22" s="2"/>
      <c r="W22" s="2"/>
      <c r="X22" s="2"/>
      <c r="Y22" s="2"/>
      <c r="Z22" s="2"/>
      <c r="AA22" s="2"/>
    </row>
    <row r="23" spans="1:27" s="244" customFormat="1" ht="51.75" customHeight="1">
      <c r="A23" s="403">
        <v>4</v>
      </c>
      <c r="B23" s="295" t="str">
        <f>'3a. Produtos-Fis (Outputs-PMR)'!B37</f>
        <v>GESTÃO DE RECURSOS ESTRATÉGICOS</v>
      </c>
      <c r="C23" s="296">
        <f>C24+C25+C26+C27+C28+C29+C30+C31+C32+C33+C34</f>
        <v>10321306</v>
      </c>
      <c r="D23" s="296">
        <f>D24+D25+D26+D27+D28+D29+D30+D31+D32+D33+D34</f>
        <v>5317634.333333333</v>
      </c>
      <c r="E23" s="297">
        <f>E24+E25+E26+E27+E28+E29+E30+E31+E32+E33+E34</f>
        <v>2881396.8867041203</v>
      </c>
      <c r="F23" s="296">
        <f>F24+F25+F26+F27+F28+F29+F30+F31+F32+F33+F34</f>
        <v>3725854.6666666665</v>
      </c>
      <c r="G23" s="298">
        <f>SUM(G24:G34)</f>
        <v>1085382.4453937907</v>
      </c>
      <c r="H23" s="296">
        <f>H24+H25+H26+H27+H28+H29+H30+H31+H32+H33+H34</f>
        <v>622798</v>
      </c>
      <c r="I23" s="298"/>
      <c r="J23" s="296">
        <f>J24+J25+J26+J27+J28+J29+J30+J31+J32+J33+J34</f>
        <v>626825</v>
      </c>
      <c r="K23" s="298"/>
      <c r="L23" s="296"/>
      <c r="M23" s="299"/>
      <c r="N23" s="395"/>
      <c r="O23" s="394"/>
      <c r="P23" s="296"/>
      <c r="Q23" s="299"/>
      <c r="R23" s="395"/>
      <c r="S23" s="394"/>
      <c r="T23" s="296">
        <f>T24+T25+T26+T27+T28+T29+T30+T31+T32+T33+T34</f>
        <v>28194</v>
      </c>
      <c r="U23" s="404"/>
      <c r="V23" s="291"/>
      <c r="W23" s="291"/>
      <c r="X23" s="291"/>
      <c r="Y23" s="291"/>
      <c r="Z23" s="291"/>
      <c r="AA23" s="291"/>
    </row>
    <row r="24" spans="1:27" s="256" customFormat="1" ht="53.25" customHeight="1">
      <c r="A24" s="403"/>
      <c r="B24" s="301" t="str">
        <f>'3a. Produtos-Fis (Outputs-PMR)'!B38</f>
        <v>Serviço de Atendimento de Excelência ao Cidadão nas unidades fazendárias implantado</v>
      </c>
      <c r="C24" s="300">
        <f aca="true" t="shared" si="1" ref="C24:C34">D24+F24+H24+J24+T24</f>
        <v>2777778.5555555555</v>
      </c>
      <c r="D24" s="300">
        <f>136000/U1</f>
        <v>75555.55555555555</v>
      </c>
      <c r="E24" s="297">
        <v>0</v>
      </c>
      <c r="F24" s="300">
        <v>2702223</v>
      </c>
      <c r="G24" s="298">
        <f>(26158.96/U2)+(91556.36/Z3)</f>
        <v>68534.39157159065</v>
      </c>
      <c r="H24" s="300"/>
      <c r="I24" s="298"/>
      <c r="J24" s="300">
        <v>0</v>
      </c>
      <c r="K24" s="298"/>
      <c r="L24" s="300"/>
      <c r="M24" s="294"/>
      <c r="N24" s="298"/>
      <c r="O24" s="290"/>
      <c r="P24" s="300"/>
      <c r="Q24" s="294"/>
      <c r="R24" s="298"/>
      <c r="S24" s="290"/>
      <c r="T24" s="300">
        <v>0</v>
      </c>
      <c r="U24" s="404"/>
      <c r="V24" s="2"/>
      <c r="W24" s="2"/>
      <c r="X24" s="2"/>
      <c r="Y24" s="2"/>
      <c r="Z24" s="2"/>
      <c r="AA24" s="2"/>
    </row>
    <row r="25" spans="1:27" s="256" customFormat="1" ht="53.25" customHeight="1">
      <c r="A25" s="534"/>
      <c r="B25" s="301" t="str">
        <f>'3a. Produtos-Fis (Outputs-PMR)'!B40</f>
        <v>Parque Tecnológico adequado aos processos fazendários</v>
      </c>
      <c r="C25" s="300">
        <f t="shared" si="1"/>
        <v>3860194.4444444445</v>
      </c>
      <c r="D25" s="300">
        <f>(6648350+300000)/1.8</f>
        <v>3860194.4444444445</v>
      </c>
      <c r="E25" s="297">
        <f>(1925780+12570+2500000+304155)/U3</f>
        <v>2775342.345505618</v>
      </c>
      <c r="F25" s="300">
        <v>0</v>
      </c>
      <c r="G25" s="298">
        <f>(441079.86/Z2)+(263033/Z2)+(22934/U2)</f>
        <v>433933.9868791372</v>
      </c>
      <c r="H25" s="300"/>
      <c r="I25" s="298"/>
      <c r="J25" s="300">
        <v>0</v>
      </c>
      <c r="K25" s="298"/>
      <c r="L25" s="300"/>
      <c r="M25" s="294"/>
      <c r="N25" s="298"/>
      <c r="O25" s="290"/>
      <c r="P25" s="300"/>
      <c r="Q25" s="294"/>
      <c r="R25" s="298"/>
      <c r="S25" s="290"/>
      <c r="T25" s="300">
        <v>0</v>
      </c>
      <c r="U25" s="404"/>
      <c r="V25" s="2"/>
      <c r="W25" s="2"/>
      <c r="X25" s="2"/>
      <c r="Y25" s="2"/>
      <c r="Z25" s="2"/>
      <c r="AA25" s="2"/>
    </row>
    <row r="26" spans="1:27" s="256" customFormat="1" ht="45.75" customHeight="1">
      <c r="A26" s="403"/>
      <c r="B26" s="301" t="str">
        <f>'3a. Produtos-Fis (Outputs-PMR)'!B42</f>
        <v>Modelo de negócio da área de TI da SEFAZ reestruturado</v>
      </c>
      <c r="C26" s="300">
        <f t="shared" si="1"/>
        <v>694444.4444444444</v>
      </c>
      <c r="D26" s="300">
        <f>1250000/U1</f>
        <v>694444.4444444444</v>
      </c>
      <c r="E26" s="297">
        <v>0</v>
      </c>
      <c r="F26" s="300">
        <v>0</v>
      </c>
      <c r="G26" s="298">
        <f>704211.93/U2+(15940+37784+18248+8519)/Z2</f>
        <v>446994.33786684554</v>
      </c>
      <c r="H26" s="300">
        <v>0</v>
      </c>
      <c r="I26" s="298"/>
      <c r="J26" s="300">
        <v>0</v>
      </c>
      <c r="K26" s="298"/>
      <c r="L26" s="300"/>
      <c r="M26" s="294"/>
      <c r="N26" s="298"/>
      <c r="O26" s="290"/>
      <c r="P26" s="300"/>
      <c r="Q26" s="294"/>
      <c r="R26" s="298"/>
      <c r="S26" s="290"/>
      <c r="T26" s="300">
        <v>0</v>
      </c>
      <c r="U26" s="404"/>
      <c r="V26" s="2"/>
      <c r="W26" s="2"/>
      <c r="X26" s="2"/>
      <c r="Y26" s="2"/>
      <c r="Z26" s="2"/>
      <c r="AA26" s="2"/>
    </row>
    <row r="27" spans="1:27" s="256" customFormat="1" ht="72.75" customHeight="1">
      <c r="A27" s="1173"/>
      <c r="B27" s="1191" t="str">
        <f>'3a. Produtos-Fis (Outputs-PMR)'!B44</f>
        <v>Sistema de Gerenciamento Eletrônico de Documentos – GED CONTA/RH implantado</v>
      </c>
      <c r="C27" s="1192">
        <f t="shared" si="1"/>
        <v>138889</v>
      </c>
      <c r="D27" s="1175">
        <v>0</v>
      </c>
      <c r="E27" s="1176">
        <v>0</v>
      </c>
      <c r="F27" s="1192">
        <v>138889</v>
      </c>
      <c r="G27" s="1177"/>
      <c r="H27" s="1175">
        <v>0</v>
      </c>
      <c r="I27" s="1177"/>
      <c r="J27" s="1175">
        <v>0</v>
      </c>
      <c r="K27" s="1177"/>
      <c r="L27" s="1175"/>
      <c r="M27" s="1179"/>
      <c r="N27" s="1177"/>
      <c r="O27" s="1180"/>
      <c r="P27" s="1175"/>
      <c r="Q27" s="1179"/>
      <c r="R27" s="1177"/>
      <c r="S27" s="1180"/>
      <c r="T27" s="1175">
        <v>0</v>
      </c>
      <c r="U27" s="1181"/>
      <c r="V27" s="2"/>
      <c r="W27" s="2"/>
      <c r="X27" s="2"/>
      <c r="Y27" s="2"/>
      <c r="Z27" s="2"/>
      <c r="AA27" s="2"/>
    </row>
    <row r="28" spans="1:27" s="256" customFormat="1" ht="84" customHeight="1">
      <c r="A28" s="403"/>
      <c r="B28" s="301" t="str">
        <f>'3a. Produtos-Fis (Outputs-PMR)'!B46</f>
        <v>Sistemática de Certificação Digital reconhecida pela Infra-estrutura de Chaves Públicas (ICP) Brasil implantada</v>
      </c>
      <c r="C28" s="300">
        <f t="shared" si="1"/>
        <v>88888.88888888889</v>
      </c>
      <c r="D28" s="300">
        <f>160000/U1</f>
        <v>88888.88888888889</v>
      </c>
      <c r="E28" s="297">
        <f>136326/U3</f>
        <v>79778.79213483146</v>
      </c>
      <c r="F28" s="300">
        <v>0</v>
      </c>
      <c r="G28" s="298"/>
      <c r="H28" s="300">
        <v>0</v>
      </c>
      <c r="I28" s="298"/>
      <c r="J28" s="300">
        <v>0</v>
      </c>
      <c r="K28" s="298"/>
      <c r="L28" s="300"/>
      <c r="M28" s="294"/>
      <c r="N28" s="298"/>
      <c r="O28" s="290"/>
      <c r="P28" s="300"/>
      <c r="Q28" s="294"/>
      <c r="R28" s="298"/>
      <c r="S28" s="290"/>
      <c r="T28" s="300">
        <v>0</v>
      </c>
      <c r="U28" s="404"/>
      <c r="V28" s="2"/>
      <c r="W28" s="2"/>
      <c r="X28" s="2"/>
      <c r="Y28" s="2"/>
      <c r="Z28" s="2"/>
      <c r="AA28" s="2"/>
    </row>
    <row r="29" spans="1:27" s="256" customFormat="1" ht="39.75" customHeight="1">
      <c r="A29" s="534"/>
      <c r="B29" s="301" t="str">
        <f>'3a. Produtos-Fis (Outputs-PMR)'!B48</f>
        <v>Política de RH estabelecida e divulgada</v>
      </c>
      <c r="C29" s="300">
        <f t="shared" si="1"/>
        <v>50000</v>
      </c>
      <c r="D29" s="300">
        <v>0</v>
      </c>
      <c r="E29" s="297">
        <v>0</v>
      </c>
      <c r="F29" s="300">
        <f>90000/1.8</f>
        <v>50000</v>
      </c>
      <c r="G29" s="298"/>
      <c r="H29" s="300">
        <v>0</v>
      </c>
      <c r="I29" s="298"/>
      <c r="J29" s="300">
        <v>0</v>
      </c>
      <c r="K29" s="298"/>
      <c r="L29" s="300"/>
      <c r="M29" s="302"/>
      <c r="N29" s="298"/>
      <c r="O29" s="303"/>
      <c r="P29" s="300"/>
      <c r="Q29" s="302"/>
      <c r="R29" s="298"/>
      <c r="S29" s="303"/>
      <c r="T29" s="300">
        <v>0</v>
      </c>
      <c r="U29" s="404"/>
      <c r="V29" s="2"/>
      <c r="W29" s="2"/>
      <c r="X29" s="2"/>
      <c r="Y29" s="2"/>
      <c r="Z29" s="2"/>
      <c r="AA29" s="2"/>
    </row>
    <row r="30" spans="1:27" s="256" customFormat="1" ht="38.25">
      <c r="A30" s="406"/>
      <c r="B30" s="304" t="str">
        <f>'3a. Produtos-Fis (Outputs-PMR)'!B50</f>
        <v>Modelo de gestão de RH da SEFAZ automatizado</v>
      </c>
      <c r="C30" s="300">
        <f t="shared" si="1"/>
        <v>77778</v>
      </c>
      <c r="D30" s="305">
        <v>0</v>
      </c>
      <c r="E30" s="306">
        <v>0</v>
      </c>
      <c r="F30" s="305">
        <v>77778</v>
      </c>
      <c r="G30" s="307"/>
      <c r="H30" s="305">
        <v>0</v>
      </c>
      <c r="I30" s="307"/>
      <c r="J30" s="300">
        <v>0</v>
      </c>
      <c r="K30" s="307"/>
      <c r="L30" s="305"/>
      <c r="M30" s="308"/>
      <c r="N30" s="307"/>
      <c r="O30" s="309"/>
      <c r="P30" s="305"/>
      <c r="Q30" s="308"/>
      <c r="R30" s="307"/>
      <c r="S30" s="309"/>
      <c r="T30" s="300">
        <v>0</v>
      </c>
      <c r="U30" s="407"/>
      <c r="V30" s="2"/>
      <c r="W30" s="2"/>
      <c r="X30" s="2"/>
      <c r="Y30" s="2"/>
      <c r="Z30" s="2"/>
      <c r="AA30" s="2"/>
    </row>
    <row r="31" spans="1:27" s="256" customFormat="1" ht="43.5" customHeight="1">
      <c r="A31" s="406"/>
      <c r="B31" s="304" t="str">
        <f>'3a. Produtos-Fis (Outputs-PMR)'!B52</f>
        <v>Modelo de avaliação gerencial desenvolvido e implantado</v>
      </c>
      <c r="C31" s="300">
        <f t="shared" si="1"/>
        <v>80555</v>
      </c>
      <c r="D31" s="305">
        <v>0</v>
      </c>
      <c r="E31" s="306">
        <v>0</v>
      </c>
      <c r="F31" s="305">
        <v>0</v>
      </c>
      <c r="G31" s="307"/>
      <c r="H31" s="305">
        <v>24167</v>
      </c>
      <c r="I31" s="307"/>
      <c r="J31" s="300">
        <v>28194</v>
      </c>
      <c r="K31" s="307"/>
      <c r="L31" s="305"/>
      <c r="M31" s="308"/>
      <c r="N31" s="307"/>
      <c r="O31" s="309"/>
      <c r="P31" s="305"/>
      <c r="Q31" s="308"/>
      <c r="R31" s="307"/>
      <c r="S31" s="309"/>
      <c r="T31" s="300">
        <v>28194</v>
      </c>
      <c r="U31" s="407"/>
      <c r="V31" s="2"/>
      <c r="W31" s="2"/>
      <c r="X31" s="2"/>
      <c r="Y31" s="2"/>
      <c r="Z31" s="2"/>
      <c r="AA31" s="2"/>
    </row>
    <row r="32" spans="1:27" s="256" customFormat="1" ht="68.25" customHeight="1">
      <c r="A32" s="406"/>
      <c r="B32" s="535" t="str">
        <f>'3a. Produtos-Fis (Outputs-PMR)'!B55</f>
        <v>Perfis profissionais com base nas competências organizacionais identificados</v>
      </c>
      <c r="C32" s="300">
        <f t="shared" si="1"/>
        <v>66667</v>
      </c>
      <c r="D32" s="305">
        <v>0</v>
      </c>
      <c r="E32" s="306">
        <f>44900/U3</f>
        <v>26275.74906367041</v>
      </c>
      <c r="F32" s="305">
        <v>66667</v>
      </c>
      <c r="G32" s="307"/>
      <c r="H32" s="305">
        <v>0</v>
      </c>
      <c r="I32" s="307"/>
      <c r="J32" s="305">
        <v>0</v>
      </c>
      <c r="K32" s="307"/>
      <c r="L32" s="305"/>
      <c r="M32" s="308"/>
      <c r="N32" s="307"/>
      <c r="O32" s="309"/>
      <c r="P32" s="305"/>
      <c r="Q32" s="308"/>
      <c r="R32" s="307"/>
      <c r="S32" s="309"/>
      <c r="T32" s="305">
        <v>0</v>
      </c>
      <c r="U32" s="407"/>
      <c r="V32" s="2"/>
      <c r="W32" s="2"/>
      <c r="X32" s="2"/>
      <c r="Y32" s="2"/>
      <c r="Z32" s="2"/>
      <c r="AA32" s="2"/>
    </row>
    <row r="33" spans="1:27" s="256" customFormat="1" ht="25.5">
      <c r="A33" s="406"/>
      <c r="B33" s="304" t="str">
        <f>'3a. Produtos-Fis (Outputs-PMR)'!B57</f>
        <v>Programa de educação à distância implantado</v>
      </c>
      <c r="C33" s="300">
        <f t="shared" si="1"/>
        <v>91666.66666666667</v>
      </c>
      <c r="D33" s="305">
        <v>0</v>
      </c>
      <c r="E33" s="306">
        <v>0</v>
      </c>
      <c r="F33" s="305">
        <f>165000/U1</f>
        <v>91666.66666666667</v>
      </c>
      <c r="G33" s="307"/>
      <c r="H33" s="305">
        <v>0</v>
      </c>
      <c r="I33" s="307"/>
      <c r="J33" s="305">
        <v>0</v>
      </c>
      <c r="K33" s="307"/>
      <c r="L33" s="305"/>
      <c r="M33" s="308"/>
      <c r="N33" s="307"/>
      <c r="O33" s="309"/>
      <c r="P33" s="305"/>
      <c r="Q33" s="308"/>
      <c r="R33" s="307"/>
      <c r="S33" s="309"/>
      <c r="T33" s="305">
        <v>0</v>
      </c>
      <c r="U33" s="407"/>
      <c r="V33" s="2"/>
      <c r="W33" s="2"/>
      <c r="X33" s="2"/>
      <c r="Y33" s="2"/>
      <c r="Z33" s="2"/>
      <c r="AA33" s="2"/>
    </row>
    <row r="34" spans="1:27" s="256" customFormat="1" ht="25.5">
      <c r="A34" s="406"/>
      <c r="B34" s="304" t="str">
        <f>'3a. Produtos-Fis (Outputs-PMR)'!B59</f>
        <v>Programa de educação continuada implantado</v>
      </c>
      <c r="C34" s="300">
        <f t="shared" si="1"/>
        <v>2394444</v>
      </c>
      <c r="D34" s="305">
        <v>598551</v>
      </c>
      <c r="E34" s="306">
        <v>0</v>
      </c>
      <c r="F34" s="305">
        <v>598631</v>
      </c>
      <c r="G34" s="307">
        <f>(144000/Z2)+(41684.72/U2)+(27000/Z3)+(17690.48/Z3)</f>
        <v>135919.72907621728</v>
      </c>
      <c r="H34" s="305">
        <v>598631</v>
      </c>
      <c r="I34" s="307"/>
      <c r="J34" s="305">
        <v>598631</v>
      </c>
      <c r="K34" s="307"/>
      <c r="L34" s="305"/>
      <c r="M34" s="308"/>
      <c r="N34" s="307"/>
      <c r="O34" s="309"/>
      <c r="P34" s="305"/>
      <c r="Q34" s="308"/>
      <c r="R34" s="307"/>
      <c r="S34" s="309"/>
      <c r="T34" s="305">
        <v>0</v>
      </c>
      <c r="U34" s="407"/>
      <c r="V34" s="2"/>
      <c r="W34" s="2"/>
      <c r="X34" s="2"/>
      <c r="Y34" s="2"/>
      <c r="Z34" s="2"/>
      <c r="AA34" s="2"/>
    </row>
    <row r="35" spans="1:27" s="256" customFormat="1" ht="12.75">
      <c r="A35" s="408"/>
      <c r="B35" s="310" t="s">
        <v>28</v>
      </c>
      <c r="C35" s="311">
        <f>C7+C10+C19+C23</f>
        <v>47852308.44444445</v>
      </c>
      <c r="D35" s="312">
        <f>D7+D10+D19+D23</f>
        <v>8429213.888888888</v>
      </c>
      <c r="E35" s="306">
        <f>E7+E10+E19+E23</f>
        <v>3239648.2911985023</v>
      </c>
      <c r="F35" s="312">
        <f>F7+F10+F19+F23</f>
        <v>27224609.777777776</v>
      </c>
      <c r="G35" s="307">
        <f>G23+G19+G10+G7</f>
        <v>1877331.174336888</v>
      </c>
      <c r="H35" s="312">
        <f>H7+H10+H19+H23</f>
        <v>11496131.777777778</v>
      </c>
      <c r="I35" s="307"/>
      <c r="J35" s="312">
        <f>J7+J10+J19+J23</f>
        <v>658381</v>
      </c>
      <c r="K35" s="307"/>
      <c r="L35" s="305"/>
      <c r="M35" s="308"/>
      <c r="N35" s="396"/>
      <c r="O35" s="397"/>
      <c r="P35" s="305"/>
      <c r="Q35" s="308"/>
      <c r="R35" s="396"/>
      <c r="S35" s="397"/>
      <c r="T35" s="312">
        <f>T7+T10+T19+T23</f>
        <v>43972</v>
      </c>
      <c r="U35" s="407"/>
      <c r="V35" s="2"/>
      <c r="W35" s="2"/>
      <c r="X35" s="2"/>
      <c r="Y35" s="2"/>
      <c r="Z35" s="2"/>
      <c r="AA35" s="2"/>
    </row>
    <row r="36" spans="1:27" s="256" customFormat="1" ht="12.75">
      <c r="A36" s="408"/>
      <c r="B36" s="313" t="s">
        <v>624</v>
      </c>
      <c r="C36" s="312">
        <f>D36+F36+H36+J36+T36</f>
        <v>247221.77777777775</v>
      </c>
      <c r="D36" s="305">
        <v>49444</v>
      </c>
      <c r="E36" s="306">
        <v>0</v>
      </c>
      <c r="F36" s="305">
        <v>49444.444444444445</v>
      </c>
      <c r="G36" s="306">
        <v>0</v>
      </c>
      <c r="H36" s="305">
        <v>49444.444444444445</v>
      </c>
      <c r="I36" s="307"/>
      <c r="J36" s="305">
        <v>49444.444444444445</v>
      </c>
      <c r="K36" s="307"/>
      <c r="L36" s="305"/>
      <c r="M36" s="308"/>
      <c r="N36" s="307"/>
      <c r="O36" s="309"/>
      <c r="P36" s="305"/>
      <c r="Q36" s="308"/>
      <c r="R36" s="307"/>
      <c r="S36" s="309"/>
      <c r="T36" s="305">
        <v>49444.444444444445</v>
      </c>
      <c r="U36" s="407"/>
      <c r="V36" s="2"/>
      <c r="W36" s="2"/>
      <c r="X36" s="2"/>
      <c r="Y36" s="2"/>
      <c r="Z36" s="2"/>
      <c r="AA36" s="2"/>
    </row>
    <row r="37" spans="1:27" s="256" customFormat="1" ht="12.75">
      <c r="A37" s="409"/>
      <c r="B37" s="314" t="s">
        <v>625</v>
      </c>
      <c r="C37" s="1233">
        <f>D37+F37+H37+J37+T37</f>
        <v>1900470</v>
      </c>
      <c r="D37" s="305">
        <v>380094</v>
      </c>
      <c r="E37" s="315">
        <v>0</v>
      </c>
      <c r="F37" s="316">
        <v>380094</v>
      </c>
      <c r="G37" s="538">
        <v>0</v>
      </c>
      <c r="H37" s="316">
        <v>380094</v>
      </c>
      <c r="I37" s="317"/>
      <c r="J37" s="316">
        <v>380094</v>
      </c>
      <c r="K37" s="317"/>
      <c r="L37" s="316"/>
      <c r="M37" s="318"/>
      <c r="N37" s="317"/>
      <c r="O37" s="319"/>
      <c r="P37" s="316"/>
      <c r="Q37" s="318"/>
      <c r="R37" s="317"/>
      <c r="S37" s="319"/>
      <c r="T37" s="316">
        <v>380094</v>
      </c>
      <c r="U37" s="410"/>
      <c r="V37" s="2"/>
      <c r="W37" s="2"/>
      <c r="X37" s="553"/>
      <c r="Y37" s="2"/>
      <c r="Z37" s="2"/>
      <c r="AA37" s="2"/>
    </row>
    <row r="38" spans="1:27" s="256" customFormat="1" ht="24.75" customHeight="1" thickBot="1">
      <c r="A38" s="411"/>
      <c r="B38" s="412" t="s">
        <v>626</v>
      </c>
      <c r="C38" s="557">
        <f aca="true" t="shared" si="2" ref="C38:K38">C35+C36+C37</f>
        <v>50000000.222222224</v>
      </c>
      <c r="D38" s="413">
        <f t="shared" si="2"/>
        <v>8858751.888888888</v>
      </c>
      <c r="E38" s="558">
        <f t="shared" si="2"/>
        <v>3239648.2911985023</v>
      </c>
      <c r="F38" s="559">
        <f t="shared" si="2"/>
        <v>27654148.22222222</v>
      </c>
      <c r="G38" s="560">
        <f t="shared" si="2"/>
        <v>1877331.174336888</v>
      </c>
      <c r="H38" s="561">
        <f t="shared" si="2"/>
        <v>11925670.222222222</v>
      </c>
      <c r="I38" s="560">
        <f t="shared" si="2"/>
        <v>0</v>
      </c>
      <c r="J38" s="561">
        <f t="shared" si="2"/>
        <v>1087919.4444444445</v>
      </c>
      <c r="K38" s="560">
        <f t="shared" si="2"/>
        <v>0</v>
      </c>
      <c r="L38" s="560">
        <f aca="true" t="shared" si="3" ref="L38:U38">L35+L36+L37</f>
        <v>0</v>
      </c>
      <c r="M38" s="560">
        <f t="shared" si="3"/>
        <v>0</v>
      </c>
      <c r="N38" s="560">
        <f t="shared" si="3"/>
        <v>0</v>
      </c>
      <c r="O38" s="560">
        <f t="shared" si="3"/>
        <v>0</v>
      </c>
      <c r="P38" s="560">
        <f t="shared" si="3"/>
        <v>0</v>
      </c>
      <c r="Q38" s="560">
        <f t="shared" si="3"/>
        <v>0</v>
      </c>
      <c r="R38" s="560">
        <f t="shared" si="3"/>
        <v>0</v>
      </c>
      <c r="S38" s="560">
        <f t="shared" si="3"/>
        <v>0</v>
      </c>
      <c r="T38" s="561">
        <f t="shared" si="3"/>
        <v>473510.44444444444</v>
      </c>
      <c r="U38" s="560">
        <f t="shared" si="3"/>
        <v>0</v>
      </c>
      <c r="V38" s="2"/>
      <c r="W38" s="2"/>
      <c r="X38" s="553"/>
      <c r="Y38" s="2"/>
      <c r="Z38" s="2"/>
      <c r="AA38" s="2"/>
    </row>
    <row r="39" spans="1:27" s="256" customFormat="1" ht="14.25" customHeight="1" thickBot="1">
      <c r="A39" s="242"/>
      <c r="B39" s="278"/>
      <c r="C39" s="279"/>
      <c r="D39" s="279"/>
      <c r="E39" s="251"/>
      <c r="F39" s="279"/>
      <c r="G39" s="251"/>
      <c r="H39" s="279"/>
      <c r="I39" s="251"/>
      <c r="J39" s="279"/>
      <c r="K39" s="251"/>
      <c r="L39" s="279"/>
      <c r="M39" s="280"/>
      <c r="N39" s="251"/>
      <c r="O39" s="281"/>
      <c r="P39" s="279"/>
      <c r="Q39" s="280"/>
      <c r="R39" s="251"/>
      <c r="S39" s="281"/>
      <c r="T39" s="279"/>
      <c r="U39" s="251"/>
      <c r="V39" s="2"/>
      <c r="W39" s="2"/>
      <c r="X39" s="2"/>
      <c r="Y39" s="2"/>
      <c r="Z39" s="2"/>
      <c r="AA39" s="2"/>
    </row>
    <row r="40" spans="1:27" s="256" customFormat="1" ht="26.25" customHeight="1">
      <c r="A40" s="426"/>
      <c r="B40" s="1391" t="s">
        <v>597</v>
      </c>
      <c r="C40" s="435" t="s">
        <v>590</v>
      </c>
      <c r="D40" s="1389" t="s">
        <v>282</v>
      </c>
      <c r="E40" s="1392"/>
      <c r="F40" s="1389" t="s">
        <v>283</v>
      </c>
      <c r="G40" s="1392"/>
      <c r="H40" s="1389" t="s">
        <v>284</v>
      </c>
      <c r="I40" s="1392"/>
      <c r="J40" s="1389" t="s">
        <v>352</v>
      </c>
      <c r="K40" s="1392"/>
      <c r="L40" s="1393" t="s">
        <v>591</v>
      </c>
      <c r="M40" s="1394"/>
      <c r="N40" s="1394"/>
      <c r="O40" s="1395"/>
      <c r="P40" s="1393" t="s">
        <v>592</v>
      </c>
      <c r="Q40" s="1394"/>
      <c r="R40" s="1394"/>
      <c r="S40" s="1395"/>
      <c r="T40" s="1389" t="s">
        <v>353</v>
      </c>
      <c r="U40" s="1390"/>
      <c r="V40" s="2"/>
      <c r="W40" s="2"/>
      <c r="X40" s="2"/>
      <c r="Y40" s="2"/>
      <c r="Z40" s="2"/>
      <c r="AA40" s="2"/>
    </row>
    <row r="41" spans="1:27" s="256" customFormat="1" ht="12.75">
      <c r="A41" s="433"/>
      <c r="B41" s="1347"/>
      <c r="C41" s="379" t="s">
        <v>72</v>
      </c>
      <c r="D41" s="379" t="s">
        <v>587</v>
      </c>
      <c r="E41" s="234" t="s">
        <v>593</v>
      </c>
      <c r="F41" s="233" t="s">
        <v>587</v>
      </c>
      <c r="G41" s="539" t="s">
        <v>593</v>
      </c>
      <c r="H41" s="379" t="s">
        <v>587</v>
      </c>
      <c r="I41" s="234" t="s">
        <v>593</v>
      </c>
      <c r="J41" s="379" t="s">
        <v>587</v>
      </c>
      <c r="K41" s="380" t="s">
        <v>593</v>
      </c>
      <c r="L41" s="1334" t="s">
        <v>587</v>
      </c>
      <c r="M41" s="1334"/>
      <c r="N41" s="1387" t="s">
        <v>593</v>
      </c>
      <c r="O41" s="1388"/>
      <c r="P41" s="1334" t="s">
        <v>587</v>
      </c>
      <c r="Q41" s="1334"/>
      <c r="R41" s="1387" t="s">
        <v>593</v>
      </c>
      <c r="S41" s="1388"/>
      <c r="T41" s="379" t="s">
        <v>587</v>
      </c>
      <c r="U41" s="399" t="s">
        <v>593</v>
      </c>
      <c r="V41" s="2"/>
      <c r="W41" s="2"/>
      <c r="X41" s="2"/>
      <c r="Y41" s="2"/>
      <c r="Z41" s="2"/>
      <c r="AA41" s="2"/>
    </row>
    <row r="42" spans="1:27" s="256" customFormat="1" ht="12.75">
      <c r="A42" s="434"/>
      <c r="B42" s="1348"/>
      <c r="C42" s="320" t="s">
        <v>354</v>
      </c>
      <c r="D42" s="381" t="s">
        <v>596</v>
      </c>
      <c r="E42" s="382" t="s">
        <v>596</v>
      </c>
      <c r="F42" s="233" t="s">
        <v>596</v>
      </c>
      <c r="G42" s="564" t="s">
        <v>596</v>
      </c>
      <c r="H42" s="233" t="s">
        <v>596</v>
      </c>
      <c r="I42" s="564" t="s">
        <v>596</v>
      </c>
      <c r="J42" s="233" t="s">
        <v>596</v>
      </c>
      <c r="K42" s="564" t="s">
        <v>596</v>
      </c>
      <c r="L42" s="381" t="s">
        <v>596</v>
      </c>
      <c r="M42" s="285" t="s">
        <v>595</v>
      </c>
      <c r="N42" s="382" t="s">
        <v>596</v>
      </c>
      <c r="O42" s="383" t="s">
        <v>595</v>
      </c>
      <c r="P42" s="381" t="s">
        <v>596</v>
      </c>
      <c r="Q42" s="285" t="s">
        <v>595</v>
      </c>
      <c r="R42" s="382" t="s">
        <v>596</v>
      </c>
      <c r="S42" s="383" t="s">
        <v>595</v>
      </c>
      <c r="T42" s="233" t="s">
        <v>596</v>
      </c>
      <c r="U42" s="562" t="s">
        <v>596</v>
      </c>
      <c r="V42" s="2"/>
      <c r="W42" s="2"/>
      <c r="X42" s="2"/>
      <c r="Y42" s="2"/>
      <c r="Z42" s="2"/>
      <c r="AA42" s="2"/>
    </row>
    <row r="43" spans="1:27" s="329" customFormat="1" ht="12.75">
      <c r="A43" s="417"/>
      <c r="B43" s="460" t="s">
        <v>55</v>
      </c>
      <c r="C43" s="321"/>
      <c r="D43" s="322"/>
      <c r="E43" s="565">
        <v>1720787</v>
      </c>
      <c r="F43" s="563"/>
      <c r="G43" s="566">
        <v>1114659.6103785362</v>
      </c>
      <c r="H43" s="563"/>
      <c r="I43" s="323"/>
      <c r="J43" s="563"/>
      <c r="K43" s="323"/>
      <c r="L43" s="324"/>
      <c r="M43" s="325"/>
      <c r="N43" s="326"/>
      <c r="O43" s="327"/>
      <c r="P43" s="324"/>
      <c r="Q43" s="325"/>
      <c r="R43" s="326"/>
      <c r="S43" s="327"/>
      <c r="T43" s="563"/>
      <c r="U43" s="418"/>
      <c r="V43" s="328"/>
      <c r="W43" s="328"/>
      <c r="X43" s="328"/>
      <c r="Y43" s="328"/>
      <c r="Z43" s="328"/>
      <c r="AA43" s="328"/>
    </row>
    <row r="44" spans="1:27" s="329" customFormat="1" ht="12.75">
      <c r="A44" s="417"/>
      <c r="B44" s="460" t="s">
        <v>69</v>
      </c>
      <c r="C44" s="321"/>
      <c r="D44" s="322"/>
      <c r="E44" s="565">
        <v>1518861</v>
      </c>
      <c r="F44" s="563"/>
      <c r="G44" s="566">
        <v>762671.5639583517</v>
      </c>
      <c r="H44" s="563"/>
      <c r="I44" s="323"/>
      <c r="J44" s="563"/>
      <c r="K44" s="323"/>
      <c r="L44" s="324"/>
      <c r="M44" s="325"/>
      <c r="N44" s="326"/>
      <c r="O44" s="327"/>
      <c r="P44" s="324"/>
      <c r="Q44" s="325"/>
      <c r="R44" s="326"/>
      <c r="S44" s="327"/>
      <c r="T44" s="563"/>
      <c r="U44" s="418"/>
      <c r="V44" s="328"/>
      <c r="W44" s="328"/>
      <c r="X44" s="328"/>
      <c r="Y44" s="328"/>
      <c r="Z44" s="328"/>
      <c r="AA44" s="328"/>
    </row>
    <row r="45" spans="1:27" s="256" customFormat="1" ht="16.5" customHeight="1" thickBot="1">
      <c r="A45" s="411"/>
      <c r="B45" s="412" t="s">
        <v>57</v>
      </c>
      <c r="C45" s="419">
        <f>D45+F45+H45+J45+T45</f>
        <v>47852308.44444444</v>
      </c>
      <c r="D45" s="420">
        <f>D35</f>
        <v>8429213.888888888</v>
      </c>
      <c r="E45" s="384">
        <f>E43+E44</f>
        <v>3239648</v>
      </c>
      <c r="F45" s="420">
        <f>F35</f>
        <v>27224609.777777776</v>
      </c>
      <c r="G45" s="422">
        <f>G44+G43</f>
        <v>1877331.174336888</v>
      </c>
      <c r="H45" s="420">
        <f>H35</f>
        <v>11496131.777777778</v>
      </c>
      <c r="I45" s="422"/>
      <c r="J45" s="420">
        <f>J35</f>
        <v>658381</v>
      </c>
      <c r="K45" s="422"/>
      <c r="L45" s="421"/>
      <c r="M45" s="415"/>
      <c r="N45" s="414"/>
      <c r="O45" s="416"/>
      <c r="P45" s="421"/>
      <c r="Q45" s="415"/>
      <c r="R45" s="414"/>
      <c r="S45" s="416"/>
      <c r="T45" s="420">
        <f>T35</f>
        <v>43972</v>
      </c>
      <c r="U45" s="423"/>
      <c r="V45" s="2"/>
      <c r="W45" s="2"/>
      <c r="X45" s="2"/>
      <c r="Y45" s="2"/>
      <c r="Z45" s="2"/>
      <c r="AA45" s="2"/>
    </row>
    <row r="47" ht="15">
      <c r="C47" s="536"/>
    </row>
    <row r="48" spans="3:5" ht="21" customHeight="1">
      <c r="C48" s="537"/>
      <c r="D48" s="554"/>
      <c r="E48" s="555"/>
    </row>
    <row r="49" spans="1:6" ht="24.75" customHeight="1" thickBot="1">
      <c r="A49" s="1401" t="s">
        <v>634</v>
      </c>
      <c r="B49" s="1401"/>
      <c r="C49" s="1401"/>
      <c r="D49" s="1401"/>
      <c r="E49" s="1401"/>
      <c r="F49" s="1401"/>
    </row>
    <row r="50" spans="2:6" ht="27.75" customHeight="1" thickBot="1">
      <c r="B50" s="540" t="s">
        <v>58</v>
      </c>
      <c r="C50" s="541" t="s">
        <v>635</v>
      </c>
      <c r="D50" s="541" t="s">
        <v>69</v>
      </c>
      <c r="E50" s="541" t="s">
        <v>57</v>
      </c>
      <c r="F50" s="541" t="s">
        <v>595</v>
      </c>
    </row>
    <row r="51" spans="2:6" ht="33.75" customHeight="1" thickBot="1">
      <c r="B51" s="542" t="s">
        <v>636</v>
      </c>
      <c r="C51" s="543">
        <v>191667</v>
      </c>
      <c r="D51" s="543">
        <v>55556</v>
      </c>
      <c r="E51" s="543">
        <v>247223</v>
      </c>
      <c r="F51" s="544">
        <v>0.49</v>
      </c>
    </row>
    <row r="52" spans="2:6" ht="15.75" thickBot="1">
      <c r="B52" s="545" t="s">
        <v>233</v>
      </c>
      <c r="C52" s="546">
        <v>80556</v>
      </c>
      <c r="D52" s="546">
        <v>55556</v>
      </c>
      <c r="E52" s="546">
        <v>136112</v>
      </c>
      <c r="F52" s="547">
        <v>0.27</v>
      </c>
    </row>
    <row r="53" spans="2:6" ht="28.5" customHeight="1" thickBot="1">
      <c r="B53" s="551" t="s">
        <v>553</v>
      </c>
      <c r="C53" s="546">
        <v>111111</v>
      </c>
      <c r="D53" s="547">
        <v>0</v>
      </c>
      <c r="E53" s="546">
        <v>111111</v>
      </c>
      <c r="F53" s="547">
        <v>0.22</v>
      </c>
    </row>
    <row r="54" spans="2:6" ht="30" customHeight="1" thickBot="1">
      <c r="B54" s="542" t="s">
        <v>637</v>
      </c>
      <c r="C54" s="543">
        <v>40095565</v>
      </c>
      <c r="D54" s="543">
        <v>7756743</v>
      </c>
      <c r="E54" s="543">
        <v>47852308</v>
      </c>
      <c r="F54" s="544">
        <v>95.71</v>
      </c>
    </row>
    <row r="55" spans="2:6" ht="31.5" customHeight="1" thickBot="1">
      <c r="B55" s="545" t="s">
        <v>638</v>
      </c>
      <c r="C55" s="546">
        <v>137778</v>
      </c>
      <c r="D55" s="547">
        <v>0</v>
      </c>
      <c r="E55" s="546">
        <v>137778</v>
      </c>
      <c r="F55" s="547">
        <v>0.28</v>
      </c>
    </row>
    <row r="56" spans="2:6" ht="28.5" customHeight="1" thickBot="1">
      <c r="B56" s="545" t="s">
        <v>639</v>
      </c>
      <c r="C56" s="546">
        <v>28801569</v>
      </c>
      <c r="D56" s="546">
        <v>7478966</v>
      </c>
      <c r="E56" s="546">
        <v>36280535</v>
      </c>
      <c r="F56" s="547">
        <v>72.56</v>
      </c>
    </row>
    <row r="57" spans="2:6" ht="27" customHeight="1" thickBot="1">
      <c r="B57" s="545" t="s">
        <v>645</v>
      </c>
      <c r="C57" s="546">
        <v>1112689</v>
      </c>
      <c r="D57" s="547">
        <v>0</v>
      </c>
      <c r="E57" s="546">
        <v>1112689</v>
      </c>
      <c r="F57" s="547">
        <v>2.23</v>
      </c>
    </row>
    <row r="58" spans="2:6" ht="18" customHeight="1" thickBot="1">
      <c r="B58" s="545" t="s">
        <v>643</v>
      </c>
      <c r="C58" s="546">
        <v>10043529</v>
      </c>
      <c r="D58" s="546">
        <v>277777</v>
      </c>
      <c r="E58" s="546">
        <v>10321306</v>
      </c>
      <c r="F58" s="547">
        <v>20.64</v>
      </c>
    </row>
    <row r="59" spans="2:6" ht="27" thickBot="1">
      <c r="B59" s="542" t="s">
        <v>640</v>
      </c>
      <c r="C59" s="543">
        <v>712768</v>
      </c>
      <c r="D59" s="543">
        <v>1187701</v>
      </c>
      <c r="E59" s="543">
        <v>1900469</v>
      </c>
      <c r="F59" s="544">
        <v>3.8</v>
      </c>
    </row>
    <row r="60" spans="2:6" ht="15.75" thickBot="1">
      <c r="B60" s="545" t="s">
        <v>644</v>
      </c>
      <c r="C60" s="546">
        <v>712768</v>
      </c>
      <c r="D60" s="546">
        <v>1187701</v>
      </c>
      <c r="E60" s="546">
        <v>1900469</v>
      </c>
      <c r="F60" s="547">
        <v>3.8</v>
      </c>
    </row>
    <row r="61" spans="2:6" ht="15.75" thickBot="1">
      <c r="B61" s="548" t="s">
        <v>57</v>
      </c>
      <c r="C61" s="549">
        <v>41000000</v>
      </c>
      <c r="D61" s="549">
        <v>9000000</v>
      </c>
      <c r="E61" s="549">
        <v>50000000</v>
      </c>
      <c r="F61" s="550">
        <v>100</v>
      </c>
    </row>
    <row r="62" spans="2:6" ht="15.75" thickBot="1">
      <c r="B62" s="548" t="s">
        <v>641</v>
      </c>
      <c r="C62" s="550">
        <v>82</v>
      </c>
      <c r="D62" s="550">
        <v>18</v>
      </c>
      <c r="E62" s="550">
        <v>100</v>
      </c>
      <c r="F62" s="550" t="s">
        <v>642</v>
      </c>
    </row>
  </sheetData>
  <sheetProtection/>
  <mergeCells count="28">
    <mergeCell ref="A49:F49"/>
    <mergeCell ref="A3:A6"/>
    <mergeCell ref="B3:B6"/>
    <mergeCell ref="C3:C4"/>
    <mergeCell ref="D3:K3"/>
    <mergeCell ref="D4:E4"/>
    <mergeCell ref="F4:G4"/>
    <mergeCell ref="H4:I4"/>
    <mergeCell ref="J4:K4"/>
    <mergeCell ref="J40:K40"/>
    <mergeCell ref="P40:S40"/>
    <mergeCell ref="T4:U4"/>
    <mergeCell ref="L5:M5"/>
    <mergeCell ref="N5:O5"/>
    <mergeCell ref="P5:Q5"/>
    <mergeCell ref="R5:S5"/>
    <mergeCell ref="L4:O4"/>
    <mergeCell ref="P4:S4"/>
    <mergeCell ref="L41:M41"/>
    <mergeCell ref="N41:O41"/>
    <mergeCell ref="P41:Q41"/>
    <mergeCell ref="T40:U40"/>
    <mergeCell ref="B40:B42"/>
    <mergeCell ref="D40:E40"/>
    <mergeCell ref="F40:G40"/>
    <mergeCell ref="H40:I40"/>
    <mergeCell ref="R41:S41"/>
    <mergeCell ref="L40:O40"/>
  </mergeCells>
  <printOptions/>
  <pageMargins left="0.16" right="0.19" top="0.7874015748031497" bottom="0.7874015748031497" header="0.31496062992125984" footer="0.31496062992125984"/>
  <pageSetup horizontalDpi="600" verticalDpi="600" orientation="landscape" paperSize="9" scale="60" r:id="rId4"/>
  <drawing r:id="rId3"/>
  <legacyDrawing r:id="rId2"/>
</worksheet>
</file>

<file path=xl/worksheets/sheet7.xml><?xml version="1.0" encoding="utf-8"?>
<worksheet xmlns="http://schemas.openxmlformats.org/spreadsheetml/2006/main" xmlns:r="http://schemas.openxmlformats.org/officeDocument/2006/relationships">
  <dimension ref="A1:CA59"/>
  <sheetViews>
    <sheetView showGridLines="0" zoomScale="70" zoomScaleNormal="70" zoomScalePageLayoutView="0" workbookViewId="0" topLeftCell="A45">
      <selection activeCell="D47" sqref="D47"/>
    </sheetView>
  </sheetViews>
  <sheetFormatPr defaultColWidth="9.140625" defaultRowHeight="12.75"/>
  <cols>
    <col min="1" max="1" width="9.421875" style="19" customWidth="1"/>
    <col min="2" max="2" width="22.28125" style="19" customWidth="1"/>
    <col min="3" max="3" width="30.8515625" style="19" hidden="1" customWidth="1"/>
    <col min="4" max="4" width="39.28125" style="19" customWidth="1"/>
    <col min="5" max="5" width="30.8515625" style="927" customWidth="1"/>
    <col min="6" max="6" width="43.421875" style="19" customWidth="1"/>
    <col min="7" max="7" width="10.140625" style="19" hidden="1" customWidth="1"/>
    <col min="8" max="8" width="31.7109375" style="19" customWidth="1"/>
    <col min="9" max="9" width="17.00390625" style="19" customWidth="1"/>
    <col min="10" max="10" width="19.57421875" style="19" customWidth="1"/>
    <col min="11" max="11" width="27.28125" style="19" customWidth="1"/>
    <col min="12" max="16384" width="9.140625" style="19" customWidth="1"/>
  </cols>
  <sheetData>
    <row r="1" spans="1:79" s="49" customFormat="1" ht="36" customHeight="1" thickBot="1">
      <c r="A1" s="48"/>
      <c r="B1" s="217"/>
      <c r="C1" s="110"/>
      <c r="D1" s="110"/>
      <c r="E1" s="951"/>
      <c r="F1" s="110"/>
      <c r="G1" s="110"/>
      <c r="H1" s="110"/>
      <c r="I1" s="111"/>
      <c r="J1" s="110"/>
      <c r="K1" s="113"/>
      <c r="L1" s="44"/>
      <c r="M1" s="44"/>
      <c r="N1" s="44"/>
      <c r="O1" s="44"/>
      <c r="P1" s="44"/>
      <c r="Q1" s="45"/>
      <c r="R1" s="47"/>
      <c r="S1" s="47"/>
      <c r="T1" s="44"/>
      <c r="U1" s="44"/>
      <c r="V1" s="44"/>
      <c r="W1" s="45"/>
      <c r="X1" s="45"/>
      <c r="Y1" s="46"/>
      <c r="Z1" s="47"/>
      <c r="AA1" s="47"/>
      <c r="AB1" s="47"/>
      <c r="AC1" s="44"/>
      <c r="AD1" s="44"/>
      <c r="AE1" s="44"/>
      <c r="AF1" s="44"/>
      <c r="AG1" s="44"/>
      <c r="AH1" s="44"/>
      <c r="AI1" s="44"/>
      <c r="AJ1" s="45"/>
      <c r="AK1" s="45"/>
      <c r="AL1" s="46"/>
      <c r="AM1" s="47"/>
      <c r="AN1" s="47"/>
      <c r="AO1" s="47"/>
      <c r="AP1" s="44"/>
      <c r="AQ1" s="44"/>
      <c r="AR1" s="44"/>
      <c r="AS1" s="44"/>
      <c r="AT1" s="44"/>
      <c r="AU1" s="44"/>
      <c r="AV1" s="44"/>
      <c r="AW1" s="45"/>
      <c r="AX1" s="45"/>
      <c r="AY1" s="46"/>
      <c r="AZ1" s="47"/>
      <c r="BA1" s="47"/>
      <c r="BB1" s="47"/>
      <c r="BC1" s="44"/>
      <c r="BD1" s="44"/>
      <c r="BE1" s="44"/>
      <c r="BF1" s="44"/>
      <c r="BG1" s="44"/>
      <c r="BH1" s="44"/>
      <c r="BI1" s="44"/>
      <c r="BJ1" s="48"/>
      <c r="BK1" s="48"/>
      <c r="BL1" s="48"/>
      <c r="BM1" s="48"/>
      <c r="BN1" s="48"/>
      <c r="BO1" s="48"/>
      <c r="BP1" s="48"/>
      <c r="BQ1" s="48"/>
      <c r="BR1" s="48"/>
      <c r="BS1" s="48"/>
      <c r="BT1" s="48"/>
      <c r="BU1" s="48"/>
      <c r="BV1" s="48"/>
      <c r="BW1" s="48"/>
      <c r="BX1" s="48"/>
      <c r="BY1" s="48"/>
      <c r="BZ1" s="48"/>
      <c r="CA1" s="48"/>
    </row>
    <row r="2" spans="1:11" s="9" customFormat="1" ht="16.5" thickBot="1">
      <c r="A2" s="1298" t="s">
        <v>220</v>
      </c>
      <c r="B2" s="1455"/>
      <c r="C2" s="138"/>
      <c r="D2" s="138"/>
      <c r="E2" s="952"/>
      <c r="F2" s="1461"/>
      <c r="G2" s="1461"/>
      <c r="H2" s="1461"/>
      <c r="I2" s="1461"/>
      <c r="J2" s="1461"/>
      <c r="K2" s="1462"/>
    </row>
    <row r="3" spans="1:11" s="927" customFormat="1" ht="25.5" customHeight="1">
      <c r="A3" s="1459" t="s">
        <v>589</v>
      </c>
      <c r="B3" s="209" t="s">
        <v>88</v>
      </c>
      <c r="C3" s="1463" t="s">
        <v>1185</v>
      </c>
      <c r="D3" s="1467" t="s">
        <v>89</v>
      </c>
      <c r="E3" s="1465" t="s">
        <v>232</v>
      </c>
      <c r="F3" s="1467" t="s">
        <v>90</v>
      </c>
      <c r="G3" s="1443" t="s">
        <v>561</v>
      </c>
      <c r="H3" s="1469" t="s">
        <v>219</v>
      </c>
      <c r="I3" s="1470"/>
      <c r="J3" s="1470"/>
      <c r="K3" s="1471"/>
    </row>
    <row r="4" spans="1:11" s="927" customFormat="1" ht="15.75" thickBot="1">
      <c r="A4" s="1460"/>
      <c r="B4" s="210"/>
      <c r="C4" s="1464"/>
      <c r="D4" s="1468"/>
      <c r="E4" s="1466"/>
      <c r="F4" s="1468"/>
      <c r="G4" s="1444"/>
      <c r="H4" s="928" t="s">
        <v>91</v>
      </c>
      <c r="I4" s="928" t="s">
        <v>92</v>
      </c>
      <c r="J4" s="928" t="s">
        <v>93</v>
      </c>
      <c r="K4" s="929" t="s">
        <v>367</v>
      </c>
    </row>
    <row r="5" spans="1:11" s="927" customFormat="1" ht="15" customHeight="1">
      <c r="A5" s="1456" t="s">
        <v>624</v>
      </c>
      <c r="B5" s="1457"/>
      <c r="C5" s="1457"/>
      <c r="D5" s="1457"/>
      <c r="E5" s="1457"/>
      <c r="F5" s="1457"/>
      <c r="G5" s="1457"/>
      <c r="H5" s="1457"/>
      <c r="I5" s="1457"/>
      <c r="J5" s="1457"/>
      <c r="K5" s="1458"/>
    </row>
    <row r="6" spans="1:11" s="927" customFormat="1" ht="126" customHeight="1" thickBot="1">
      <c r="A6" s="1140" t="s">
        <v>1204</v>
      </c>
      <c r="B6" s="1434" t="s">
        <v>361</v>
      </c>
      <c r="C6" s="921" t="s">
        <v>859</v>
      </c>
      <c r="D6" s="1445" t="s">
        <v>1307</v>
      </c>
      <c r="E6" s="1419"/>
      <c r="F6" s="1445" t="s">
        <v>1308</v>
      </c>
      <c r="G6" s="931"/>
      <c r="H6" s="932" t="s">
        <v>1309</v>
      </c>
      <c r="I6" s="933" t="s">
        <v>1311</v>
      </c>
      <c r="J6" s="1139">
        <v>40724</v>
      </c>
      <c r="K6" s="935"/>
    </row>
    <row r="7" spans="1:11" s="927" customFormat="1" ht="49.5" customHeight="1" thickBot="1">
      <c r="A7" s="1141"/>
      <c r="B7" s="1435"/>
      <c r="C7" s="921" t="s">
        <v>859</v>
      </c>
      <c r="D7" s="1446"/>
      <c r="E7" s="1420"/>
      <c r="F7" s="1446"/>
      <c r="G7" s="931"/>
      <c r="H7" s="932" t="s">
        <v>1313</v>
      </c>
      <c r="I7" s="933" t="s">
        <v>1311</v>
      </c>
      <c r="J7" s="1139">
        <v>40676</v>
      </c>
      <c r="K7" s="935"/>
    </row>
    <row r="8" spans="1:11" s="927" customFormat="1" ht="51" customHeight="1" thickBot="1">
      <c r="A8" s="1141"/>
      <c r="B8" s="1435"/>
      <c r="C8" s="921" t="s">
        <v>859</v>
      </c>
      <c r="D8" s="1447"/>
      <c r="E8" s="1421"/>
      <c r="F8" s="1447"/>
      <c r="G8" s="931"/>
      <c r="H8" s="932" t="s">
        <v>1310</v>
      </c>
      <c r="I8" s="933" t="s">
        <v>1312</v>
      </c>
      <c r="J8" s="934" t="s">
        <v>1314</v>
      </c>
      <c r="K8" s="935" t="s">
        <v>1315</v>
      </c>
    </row>
    <row r="9" spans="1:11" s="927" customFormat="1" ht="52.5" customHeight="1" thickBot="1">
      <c r="A9" s="1142"/>
      <c r="B9" s="1435"/>
      <c r="C9" s="921"/>
      <c r="D9" s="1143" t="s">
        <v>1316</v>
      </c>
      <c r="E9" s="1184"/>
      <c r="F9" s="1144"/>
      <c r="G9" s="1145"/>
      <c r="H9" s="1146"/>
      <c r="I9" s="1147"/>
      <c r="J9" s="1148"/>
      <c r="K9" s="1149"/>
    </row>
    <row r="10" spans="1:11" s="927" customFormat="1" ht="15">
      <c r="A10" s="332" t="s">
        <v>238</v>
      </c>
      <c r="B10" s="1428" t="s">
        <v>245</v>
      </c>
      <c r="C10" s="1428"/>
      <c r="D10" s="1429"/>
      <c r="E10" s="1429"/>
      <c r="F10" s="1430"/>
      <c r="G10" s="1430"/>
      <c r="H10" s="1430"/>
      <c r="I10" s="1430"/>
      <c r="J10" s="1430"/>
      <c r="K10" s="1431"/>
    </row>
    <row r="11" spans="1:11" s="927" customFormat="1" ht="15" customHeight="1">
      <c r="A11" s="157">
        <v>1</v>
      </c>
      <c r="B11" s="1432" t="s">
        <v>1206</v>
      </c>
      <c r="C11" s="1433"/>
      <c r="D11" s="1433"/>
      <c r="E11" s="1433"/>
      <c r="F11" s="1433"/>
      <c r="G11" s="207"/>
      <c r="H11" s="207"/>
      <c r="I11" s="207"/>
      <c r="J11" s="207"/>
      <c r="K11" s="208"/>
    </row>
    <row r="12" spans="1:11" s="927" customFormat="1" ht="90.75" thickBot="1">
      <c r="A12" s="1123" t="s">
        <v>246</v>
      </c>
      <c r="B12" s="922" t="s">
        <v>1118</v>
      </c>
      <c r="C12" s="971"/>
      <c r="D12" s="936" t="s">
        <v>1164</v>
      </c>
      <c r="E12" s="920"/>
      <c r="F12" s="930" t="s">
        <v>1202</v>
      </c>
      <c r="G12" s="931"/>
      <c r="H12" s="933" t="s">
        <v>1317</v>
      </c>
      <c r="I12" s="933" t="s">
        <v>1203</v>
      </c>
      <c r="J12" s="1122">
        <v>40664</v>
      </c>
      <c r="K12" s="934"/>
    </row>
    <row r="13" spans="1:11" s="927" customFormat="1" ht="15" customHeight="1">
      <c r="A13" s="157">
        <v>2</v>
      </c>
      <c r="B13" s="1440" t="s">
        <v>234</v>
      </c>
      <c r="C13" s="1441"/>
      <c r="D13" s="1441"/>
      <c r="E13" s="1441"/>
      <c r="F13" s="1441"/>
      <c r="G13" s="207"/>
      <c r="H13" s="207"/>
      <c r="I13" s="207"/>
      <c r="J13" s="207"/>
      <c r="K13" s="208"/>
    </row>
    <row r="14" spans="1:11" s="927" customFormat="1" ht="90.75" thickBot="1">
      <c r="A14" s="953" t="s">
        <v>248</v>
      </c>
      <c r="B14" s="922" t="s">
        <v>372</v>
      </c>
      <c r="C14" s="921" t="s">
        <v>860</v>
      </c>
      <c r="D14" s="936" t="s">
        <v>1331</v>
      </c>
      <c r="E14" s="920"/>
      <c r="F14" s="930" t="s">
        <v>1213</v>
      </c>
      <c r="G14" s="931"/>
      <c r="H14" s="933" t="s">
        <v>1215</v>
      </c>
      <c r="I14" s="933" t="s">
        <v>1214</v>
      </c>
      <c r="J14" s="1122">
        <v>40664</v>
      </c>
      <c r="K14" s="934"/>
    </row>
    <row r="15" spans="1:11" s="927" customFormat="1" ht="15">
      <c r="A15" s="332" t="s">
        <v>228</v>
      </c>
      <c r="B15" s="1428" t="s">
        <v>193</v>
      </c>
      <c r="C15" s="1428"/>
      <c r="D15" s="1429"/>
      <c r="E15" s="1429"/>
      <c r="F15" s="1430"/>
      <c r="G15" s="1430"/>
      <c r="H15" s="1430"/>
      <c r="I15" s="1430"/>
      <c r="J15" s="1430"/>
      <c r="K15" s="1431"/>
    </row>
    <row r="16" spans="1:11" s="927" customFormat="1" ht="15" customHeight="1">
      <c r="A16" s="157">
        <v>3</v>
      </c>
      <c r="B16" s="1432" t="s">
        <v>235</v>
      </c>
      <c r="C16" s="1433"/>
      <c r="D16" s="1433"/>
      <c r="E16" s="1433"/>
      <c r="F16" s="1433"/>
      <c r="G16" s="207"/>
      <c r="H16" s="207"/>
      <c r="I16" s="207"/>
      <c r="J16" s="207"/>
      <c r="K16" s="208"/>
    </row>
    <row r="17" spans="1:11" s="927" customFormat="1" ht="211.5" customHeight="1">
      <c r="A17" s="1126" t="s">
        <v>1381</v>
      </c>
      <c r="B17" s="922" t="s">
        <v>1342</v>
      </c>
      <c r="C17" s="924" t="s">
        <v>863</v>
      </c>
      <c r="D17" s="920" t="s">
        <v>1333</v>
      </c>
      <c r="E17" s="972"/>
      <c r="F17" s="972"/>
      <c r="G17" s="972"/>
      <c r="H17" s="1153"/>
      <c r="I17" s="1153"/>
      <c r="J17" s="1154"/>
      <c r="K17" s="1155"/>
    </row>
    <row r="18" spans="1:11" s="927" customFormat="1" ht="95.25" customHeight="1">
      <c r="A18" s="1425" t="s">
        <v>1382</v>
      </c>
      <c r="B18" s="922" t="s">
        <v>363</v>
      </c>
      <c r="C18" s="972"/>
      <c r="D18" s="920" t="s">
        <v>1344</v>
      </c>
      <c r="E18" s="922"/>
      <c r="F18" s="1436" t="s">
        <v>1336</v>
      </c>
      <c r="G18" s="1159"/>
      <c r="H18" s="1160"/>
      <c r="I18" s="1138"/>
      <c r="J18" s="1138"/>
      <c r="K18" s="1161"/>
    </row>
    <row r="19" spans="1:11" s="927" customFormat="1" ht="93" customHeight="1">
      <c r="A19" s="1426"/>
      <c r="B19" s="922" t="s">
        <v>364</v>
      </c>
      <c r="C19" s="973"/>
      <c r="D19" s="920" t="s">
        <v>1345</v>
      </c>
      <c r="E19" s="922"/>
      <c r="F19" s="1437"/>
      <c r="G19" s="1159"/>
      <c r="H19" s="1160"/>
      <c r="I19" s="1138"/>
      <c r="J19" s="1138"/>
      <c r="K19" s="1161"/>
    </row>
    <row r="20" spans="1:11" s="927" customFormat="1" ht="105">
      <c r="A20" s="1427"/>
      <c r="B20" s="922" t="s">
        <v>365</v>
      </c>
      <c r="C20" s="940"/>
      <c r="D20" s="941" t="s">
        <v>1346</v>
      </c>
      <c r="E20" s="922"/>
      <c r="F20" s="1438"/>
      <c r="G20" s="1159"/>
      <c r="H20" s="1160"/>
      <c r="I20" s="1138"/>
      <c r="J20" s="1138"/>
      <c r="K20" s="1161"/>
    </row>
    <row r="21" spans="1:11" s="927" customFormat="1" ht="96.75" customHeight="1">
      <c r="A21" s="970" t="s">
        <v>1198</v>
      </c>
      <c r="B21" s="972" t="s">
        <v>359</v>
      </c>
      <c r="C21" s="973" t="s">
        <v>861</v>
      </c>
      <c r="D21" s="1184" t="s">
        <v>368</v>
      </c>
      <c r="E21" s="972"/>
      <c r="F21" s="973" t="s">
        <v>875</v>
      </c>
      <c r="G21" s="1145"/>
      <c r="H21" s="1153" t="s">
        <v>1341</v>
      </c>
      <c r="I21" s="1153" t="s">
        <v>1203</v>
      </c>
      <c r="J21" s="1185">
        <v>40664</v>
      </c>
      <c r="K21" s="1186"/>
    </row>
    <row r="22" spans="1:11" s="927" customFormat="1" ht="77.25" customHeight="1">
      <c r="A22" s="1425" t="s">
        <v>1383</v>
      </c>
      <c r="B22" s="922" t="s">
        <v>366</v>
      </c>
      <c r="C22" s="973"/>
      <c r="D22" s="920" t="s">
        <v>1347</v>
      </c>
      <c r="E22" s="922"/>
      <c r="F22" s="972"/>
      <c r="G22" s="1145"/>
      <c r="H22" s="1156"/>
      <c r="I22" s="1157"/>
      <c r="J22" s="1157"/>
      <c r="K22" s="1158"/>
    </row>
    <row r="23" spans="1:11" s="927" customFormat="1" ht="75" customHeight="1">
      <c r="A23" s="1426"/>
      <c r="B23" s="922" t="s">
        <v>369</v>
      </c>
      <c r="C23" s="973"/>
      <c r="D23" s="920" t="s">
        <v>1348</v>
      </c>
      <c r="E23" s="972"/>
      <c r="F23" s="972"/>
      <c r="G23" s="1145"/>
      <c r="H23" s="1156"/>
      <c r="I23" s="1157"/>
      <c r="J23" s="1157"/>
      <c r="K23" s="1158"/>
    </row>
    <row r="24" spans="1:11" s="927" customFormat="1" ht="81.75" customHeight="1">
      <c r="A24" s="1426"/>
      <c r="B24" s="922" t="s">
        <v>370</v>
      </c>
      <c r="C24" s="973"/>
      <c r="D24" s="1187" t="s">
        <v>1349</v>
      </c>
      <c r="E24" s="972"/>
      <c r="F24" s="972"/>
      <c r="G24" s="1145"/>
      <c r="H24" s="1156"/>
      <c r="I24" s="1157"/>
      <c r="J24" s="1157"/>
      <c r="K24" s="1158"/>
    </row>
    <row r="25" spans="1:11" s="927" customFormat="1" ht="77.25" customHeight="1">
      <c r="A25" s="1427"/>
      <c r="B25" s="922" t="s">
        <v>371</v>
      </c>
      <c r="C25" s="940" t="s">
        <v>862</v>
      </c>
      <c r="D25" s="920" t="s">
        <v>1350</v>
      </c>
      <c r="E25" s="972"/>
      <c r="F25" s="972"/>
      <c r="G25" s="1145"/>
      <c r="H25" s="1156"/>
      <c r="I25" s="1157"/>
      <c r="J25" s="1157"/>
      <c r="K25" s="1158"/>
    </row>
    <row r="26" spans="1:11" s="927" customFormat="1" ht="23.25" customHeight="1">
      <c r="A26" s="923">
        <v>4</v>
      </c>
      <c r="B26" s="1432" t="s">
        <v>236</v>
      </c>
      <c r="C26" s="1433"/>
      <c r="D26" s="1433"/>
      <c r="E26" s="1433"/>
      <c r="F26" s="1433"/>
      <c r="G26" s="1433"/>
      <c r="H26" s="1439"/>
      <c r="I26" s="567"/>
      <c r="J26" s="567"/>
      <c r="K26" s="568"/>
    </row>
    <row r="27" spans="1:11" s="927" customFormat="1" ht="123.75" customHeight="1">
      <c r="A27" s="953" t="s">
        <v>866</v>
      </c>
      <c r="B27" s="922" t="s">
        <v>374</v>
      </c>
      <c r="C27" s="924" t="s">
        <v>864</v>
      </c>
      <c r="D27" s="920" t="s">
        <v>1354</v>
      </c>
      <c r="E27" s="972"/>
      <c r="F27" s="1184"/>
      <c r="G27" s="1145"/>
      <c r="H27" s="1190"/>
      <c r="I27" s="1157"/>
      <c r="J27" s="1157"/>
      <c r="K27" s="1158"/>
    </row>
    <row r="28" spans="1:11" s="927" customFormat="1" ht="197.25" customHeight="1">
      <c r="A28" s="953" t="s">
        <v>867</v>
      </c>
      <c r="B28" s="922" t="s">
        <v>375</v>
      </c>
      <c r="C28" s="972"/>
      <c r="D28" s="920" t="s">
        <v>1355</v>
      </c>
      <c r="E28" s="922"/>
      <c r="F28" s="1442" t="s">
        <v>1156</v>
      </c>
      <c r="G28" s="931"/>
      <c r="H28" s="1422" t="s">
        <v>1356</v>
      </c>
      <c r="I28" s="1448" t="s">
        <v>1357</v>
      </c>
      <c r="J28" s="1451">
        <v>40664</v>
      </c>
      <c r="K28" s="1452"/>
    </row>
    <row r="29" spans="1:11" s="927" customFormat="1" ht="109.5" customHeight="1">
      <c r="A29" s="953" t="s">
        <v>868</v>
      </c>
      <c r="B29" s="922" t="s">
        <v>376</v>
      </c>
      <c r="C29" s="972"/>
      <c r="D29" s="920" t="s">
        <v>1158</v>
      </c>
      <c r="E29" s="922"/>
      <c r="F29" s="1423"/>
      <c r="G29" s="931"/>
      <c r="H29" s="1423"/>
      <c r="I29" s="1449"/>
      <c r="J29" s="1449"/>
      <c r="K29" s="1453"/>
    </row>
    <row r="30" spans="1:11" s="927" customFormat="1" ht="92.25" customHeight="1" thickBot="1">
      <c r="A30" s="953" t="s">
        <v>1384</v>
      </c>
      <c r="B30" s="925" t="s">
        <v>377</v>
      </c>
      <c r="C30" s="926" t="s">
        <v>864</v>
      </c>
      <c r="D30" s="943" t="s">
        <v>1157</v>
      </c>
      <c r="E30" s="925"/>
      <c r="F30" s="1424"/>
      <c r="G30" s="931"/>
      <c r="H30" s="1424"/>
      <c r="I30" s="1450"/>
      <c r="J30" s="1450"/>
      <c r="K30" s="1454"/>
    </row>
    <row r="31" spans="1:11" s="927" customFormat="1" ht="15">
      <c r="A31" s="332" t="s">
        <v>229</v>
      </c>
      <c r="B31" s="1428" t="s">
        <v>244</v>
      </c>
      <c r="C31" s="1428"/>
      <c r="D31" s="1429"/>
      <c r="E31" s="1429"/>
      <c r="F31" s="1430"/>
      <c r="G31" s="1430"/>
      <c r="H31" s="1430"/>
      <c r="I31" s="1430"/>
      <c r="J31" s="1430"/>
      <c r="K31" s="1431"/>
    </row>
    <row r="32" spans="1:11" s="927" customFormat="1" ht="29.25" customHeight="1">
      <c r="A32" s="157">
        <v>5</v>
      </c>
      <c r="B32" s="1432" t="s">
        <v>237</v>
      </c>
      <c r="C32" s="1433"/>
      <c r="D32" s="1433"/>
      <c r="E32" s="1433"/>
      <c r="F32" s="1433"/>
      <c r="G32" s="1433"/>
      <c r="H32" s="1433"/>
      <c r="I32" s="207"/>
      <c r="J32" s="207"/>
      <c r="K32" s="208"/>
    </row>
    <row r="33" spans="1:11" s="927" customFormat="1" ht="96" customHeight="1">
      <c r="A33" s="953" t="s">
        <v>434</v>
      </c>
      <c r="B33" s="922" t="s">
        <v>1359</v>
      </c>
      <c r="C33" s="924" t="s">
        <v>865</v>
      </c>
      <c r="D33" s="920" t="s">
        <v>1361</v>
      </c>
      <c r="E33" s="972"/>
      <c r="F33" s="972"/>
      <c r="G33" s="1145"/>
      <c r="H33" s="1153"/>
      <c r="I33" s="1153"/>
      <c r="J33" s="1154"/>
      <c r="K33" s="1155"/>
    </row>
    <row r="34" spans="1:11" s="927" customFormat="1" ht="111" customHeight="1">
      <c r="A34" s="953" t="s">
        <v>1385</v>
      </c>
      <c r="B34" s="944" t="s">
        <v>380</v>
      </c>
      <c r="C34" s="972"/>
      <c r="D34" s="920" t="s">
        <v>1365</v>
      </c>
      <c r="E34" s="972"/>
      <c r="F34" s="1184"/>
      <c r="G34" s="1145"/>
      <c r="H34" s="1153"/>
      <c r="I34" s="1153"/>
      <c r="J34" s="1153"/>
      <c r="K34" s="1186"/>
    </row>
    <row r="35" spans="1:11" s="927" customFormat="1" ht="123" customHeight="1">
      <c r="A35" s="977" t="s">
        <v>1386</v>
      </c>
      <c r="B35" s="945" t="s">
        <v>381</v>
      </c>
      <c r="C35" s="972"/>
      <c r="D35" s="920" t="s">
        <v>1367</v>
      </c>
      <c r="E35" s="922"/>
      <c r="F35" s="920" t="s">
        <v>1369</v>
      </c>
      <c r="G35" s="931"/>
      <c r="H35" s="937" t="s">
        <v>1368</v>
      </c>
      <c r="I35" s="937" t="s">
        <v>1370</v>
      </c>
      <c r="J35" s="1162">
        <v>40695</v>
      </c>
      <c r="K35" s="942"/>
    </row>
    <row r="36" spans="1:11" s="927" customFormat="1" ht="101.25" customHeight="1">
      <c r="A36" s="970" t="s">
        <v>1198</v>
      </c>
      <c r="B36" s="1194" t="s">
        <v>1372</v>
      </c>
      <c r="C36" s="1195" t="s">
        <v>869</v>
      </c>
      <c r="D36" s="1184" t="s">
        <v>1373</v>
      </c>
      <c r="E36" s="972"/>
      <c r="F36" s="972"/>
      <c r="G36" s="1145"/>
      <c r="H36" s="1153"/>
      <c r="I36" s="1153"/>
      <c r="J36" s="1153"/>
      <c r="K36" s="1193"/>
    </row>
    <row r="37" spans="1:11" s="927" customFormat="1" ht="15">
      <c r="A37" s="332" t="s">
        <v>230</v>
      </c>
      <c r="B37" s="1428" t="s">
        <v>243</v>
      </c>
      <c r="C37" s="1428"/>
      <c r="D37" s="1429"/>
      <c r="E37" s="1429"/>
      <c r="F37" s="1430"/>
      <c r="G37" s="1430"/>
      <c r="H37" s="1430"/>
      <c r="I37" s="1430"/>
      <c r="J37" s="1430"/>
      <c r="K37" s="1431"/>
    </row>
    <row r="38" spans="1:11" s="927" customFormat="1" ht="15" customHeight="1">
      <c r="A38" s="157">
        <v>6</v>
      </c>
      <c r="B38" s="1432" t="s">
        <v>239</v>
      </c>
      <c r="C38" s="1433"/>
      <c r="D38" s="1433"/>
      <c r="E38" s="1433"/>
      <c r="F38" s="1433"/>
      <c r="G38" s="1433"/>
      <c r="H38" s="1433"/>
      <c r="I38" s="207"/>
      <c r="J38" s="207"/>
      <c r="K38" s="208"/>
    </row>
    <row r="39" spans="1:11" s="927" customFormat="1" ht="341.25" customHeight="1" thickBot="1">
      <c r="A39" s="954" t="s">
        <v>872</v>
      </c>
      <c r="B39" s="925" t="s">
        <v>382</v>
      </c>
      <c r="C39" s="926" t="s">
        <v>870</v>
      </c>
      <c r="D39" s="943" t="s">
        <v>1374</v>
      </c>
      <c r="E39" s="976"/>
      <c r="F39" s="974"/>
      <c r="G39" s="1196"/>
      <c r="H39" s="1197"/>
      <c r="I39" s="1198"/>
      <c r="J39" s="1198"/>
      <c r="K39" s="1199"/>
    </row>
    <row r="40" spans="1:11" s="927" customFormat="1" ht="15" customHeight="1">
      <c r="A40" s="165">
        <v>7</v>
      </c>
      <c r="B40" s="1412" t="s">
        <v>240</v>
      </c>
      <c r="C40" s="1413"/>
      <c r="D40" s="1413"/>
      <c r="E40" s="1413"/>
      <c r="F40" s="1413"/>
      <c r="G40" s="1413"/>
      <c r="H40" s="1413"/>
      <c r="I40" s="569"/>
      <c r="J40" s="569"/>
      <c r="K40" s="570"/>
    </row>
    <row r="41" spans="1:11" s="927" customFormat="1" ht="90">
      <c r="A41" s="1126" t="s">
        <v>1387</v>
      </c>
      <c r="B41" s="922" t="s">
        <v>383</v>
      </c>
      <c r="C41" s="922" t="s">
        <v>871</v>
      </c>
      <c r="D41" s="920" t="s">
        <v>876</v>
      </c>
      <c r="E41" s="1183" t="s">
        <v>1186</v>
      </c>
      <c r="F41" s="972"/>
      <c r="G41" s="1145"/>
      <c r="H41" s="1200"/>
      <c r="I41" s="1200"/>
      <c r="J41" s="1200"/>
      <c r="K41" s="1201"/>
    </row>
    <row r="42" spans="1:12" s="927" customFormat="1" ht="258.75" customHeight="1">
      <c r="A42" s="953" t="s">
        <v>435</v>
      </c>
      <c r="B42" s="922" t="s">
        <v>384</v>
      </c>
      <c r="C42" s="972"/>
      <c r="D42" s="920" t="s">
        <v>1188</v>
      </c>
      <c r="E42" s="922"/>
      <c r="F42" s="938" t="s">
        <v>1375</v>
      </c>
      <c r="G42" s="931"/>
      <c r="H42" s="920" t="s">
        <v>1376</v>
      </c>
      <c r="I42" s="937" t="s">
        <v>1377</v>
      </c>
      <c r="J42" s="947" t="s">
        <v>1378</v>
      </c>
      <c r="K42" s="946" t="s">
        <v>1379</v>
      </c>
      <c r="L42" s="1115" t="s">
        <v>1187</v>
      </c>
    </row>
    <row r="43" spans="1:11" s="927" customFormat="1" ht="278.25" customHeight="1">
      <c r="A43" s="970" t="s">
        <v>887</v>
      </c>
      <c r="B43" s="922" t="s">
        <v>385</v>
      </c>
      <c r="C43" s="972"/>
      <c r="D43" s="920" t="s">
        <v>877</v>
      </c>
      <c r="E43" s="1273" t="s">
        <v>1189</v>
      </c>
      <c r="F43" s="1184"/>
      <c r="G43" s="1145"/>
      <c r="H43" s="1200"/>
      <c r="I43" s="1200"/>
      <c r="J43" s="1200"/>
      <c r="K43" s="1201"/>
    </row>
    <row r="44" spans="1:11" s="927" customFormat="1" ht="75">
      <c r="A44" s="1212" t="s">
        <v>1198</v>
      </c>
      <c r="B44" s="972" t="s">
        <v>386</v>
      </c>
      <c r="C44" s="971" t="s">
        <v>873</v>
      </c>
      <c r="D44" s="1184" t="s">
        <v>1380</v>
      </c>
      <c r="E44" s="1184"/>
      <c r="F44" s="1184"/>
      <c r="G44" s="1145"/>
      <c r="H44" s="1200"/>
      <c r="I44" s="1200"/>
      <c r="J44" s="1200"/>
      <c r="K44" s="1201"/>
    </row>
    <row r="45" spans="1:11" s="927" customFormat="1" ht="121.5" customHeight="1" thickBot="1">
      <c r="A45" s="954" t="s">
        <v>874</v>
      </c>
      <c r="B45" s="925" t="s">
        <v>387</v>
      </c>
      <c r="C45" s="974"/>
      <c r="D45" s="943" t="s">
        <v>1389</v>
      </c>
      <c r="E45" s="943"/>
      <c r="F45" s="974"/>
      <c r="G45" s="1196"/>
      <c r="H45" s="1215"/>
      <c r="I45" s="1215"/>
      <c r="J45" s="1215"/>
      <c r="K45" s="1216"/>
    </row>
    <row r="46" spans="1:11" s="927" customFormat="1" ht="15" customHeight="1">
      <c r="A46" s="165">
        <v>8</v>
      </c>
      <c r="B46" s="1412" t="s">
        <v>241</v>
      </c>
      <c r="C46" s="1413"/>
      <c r="D46" s="1413"/>
      <c r="E46" s="1413"/>
      <c r="F46" s="1413"/>
      <c r="G46" s="569"/>
      <c r="H46" s="569"/>
      <c r="I46" s="569"/>
      <c r="J46" s="569"/>
      <c r="K46" s="570"/>
    </row>
    <row r="47" spans="1:11" s="927" customFormat="1" ht="99.75" customHeight="1">
      <c r="A47" s="953" t="s">
        <v>436</v>
      </c>
      <c r="B47" s="922" t="s">
        <v>388</v>
      </c>
      <c r="C47" s="972"/>
      <c r="D47" s="920" t="s">
        <v>1395</v>
      </c>
      <c r="E47" s="922"/>
      <c r="F47" s="972"/>
      <c r="G47" s="1145"/>
      <c r="H47" s="1200"/>
      <c r="I47" s="1200"/>
      <c r="J47" s="1200"/>
      <c r="K47" s="1201"/>
    </row>
    <row r="48" spans="1:11" s="927" customFormat="1" ht="78" customHeight="1" thickBot="1">
      <c r="A48" s="953" t="s">
        <v>527</v>
      </c>
      <c r="B48" s="922" t="s">
        <v>389</v>
      </c>
      <c r="C48" s="924" t="s">
        <v>1167</v>
      </c>
      <c r="D48" s="920" t="s">
        <v>1396</v>
      </c>
      <c r="E48" s="922"/>
      <c r="F48" s="930" t="s">
        <v>1397</v>
      </c>
      <c r="G48" s="931"/>
      <c r="H48" s="933" t="s">
        <v>1215</v>
      </c>
      <c r="I48" s="933" t="s">
        <v>1214</v>
      </c>
      <c r="J48" s="1122">
        <v>40664</v>
      </c>
      <c r="K48" s="934"/>
    </row>
    <row r="49" spans="1:11" s="927" customFormat="1" ht="66" customHeight="1">
      <c r="A49" s="1414" t="s">
        <v>1398</v>
      </c>
      <c r="B49" s="922" t="s">
        <v>390</v>
      </c>
      <c r="C49" s="922"/>
      <c r="D49" s="920" t="s">
        <v>1402</v>
      </c>
      <c r="E49" s="922"/>
      <c r="F49" s="1184"/>
      <c r="G49" s="1145"/>
      <c r="H49" s="1200"/>
      <c r="I49" s="1200"/>
      <c r="J49" s="1200"/>
      <c r="K49" s="1217">
        <v>40667</v>
      </c>
    </row>
    <row r="50" spans="1:11" s="927" customFormat="1" ht="62.25" customHeight="1">
      <c r="A50" s="1415"/>
      <c r="B50" s="922" t="s">
        <v>391</v>
      </c>
      <c r="C50" s="972"/>
      <c r="D50" s="920" t="s">
        <v>1401</v>
      </c>
      <c r="E50" s="922"/>
      <c r="F50" s="972"/>
      <c r="G50" s="1145"/>
      <c r="H50" s="1200"/>
      <c r="I50" s="1200"/>
      <c r="J50" s="1200"/>
      <c r="K50" s="1201"/>
    </row>
    <row r="51" spans="1:11" s="927" customFormat="1" ht="120" customHeight="1">
      <c r="A51" s="977" t="s">
        <v>1399</v>
      </c>
      <c r="B51" s="922" t="s">
        <v>445</v>
      </c>
      <c r="C51" s="972"/>
      <c r="D51" s="920" t="s">
        <v>1403</v>
      </c>
      <c r="E51" s="922"/>
      <c r="F51" s="1184"/>
      <c r="G51" s="1145"/>
      <c r="H51" s="1200"/>
      <c r="I51" s="1200"/>
      <c r="J51" s="1200"/>
      <c r="K51" s="1217"/>
    </row>
    <row r="52" spans="1:11" s="927" customFormat="1" ht="15" customHeight="1" thickBot="1">
      <c r="A52" s="571">
        <v>9</v>
      </c>
      <c r="B52" s="1416" t="s">
        <v>242</v>
      </c>
      <c r="C52" s="1417"/>
      <c r="D52" s="1417"/>
      <c r="E52" s="1417"/>
      <c r="F52" s="1418"/>
      <c r="G52" s="572"/>
      <c r="H52" s="572"/>
      <c r="I52" s="572"/>
      <c r="J52" s="572"/>
      <c r="K52" s="573"/>
    </row>
    <row r="53" spans="1:11" s="927" customFormat="1" ht="50.25" customHeight="1">
      <c r="A53" s="955" t="s">
        <v>1405</v>
      </c>
      <c r="B53" s="948" t="s">
        <v>392</v>
      </c>
      <c r="C53" s="975"/>
      <c r="D53" s="949" t="s">
        <v>1407</v>
      </c>
      <c r="E53" s="948"/>
      <c r="F53" s="975"/>
      <c r="G53" s="1218"/>
      <c r="H53" s="1219"/>
      <c r="I53" s="1219"/>
      <c r="J53" s="1220"/>
      <c r="K53" s="1221"/>
    </row>
    <row r="54" spans="1:11" s="927" customFormat="1" ht="105.75" thickBot="1">
      <c r="A54" s="954" t="s">
        <v>1406</v>
      </c>
      <c r="B54" s="925" t="s">
        <v>393</v>
      </c>
      <c r="C54" s="976"/>
      <c r="D54" s="943" t="s">
        <v>1184</v>
      </c>
      <c r="E54" s="925"/>
      <c r="F54" s="974"/>
      <c r="G54" s="1145"/>
      <c r="H54" s="1215"/>
      <c r="I54" s="1215"/>
      <c r="J54" s="1215"/>
      <c r="K54" s="1222"/>
    </row>
    <row r="55" s="927" customFormat="1" ht="15"/>
    <row r="56" s="950" customFormat="1" ht="15">
      <c r="E56" s="101"/>
    </row>
    <row r="57" spans="1:2" s="927" customFormat="1" ht="15">
      <c r="A57" s="956"/>
      <c r="B57" s="101" t="s">
        <v>889</v>
      </c>
    </row>
    <row r="58" spans="1:2" s="927" customFormat="1" ht="15">
      <c r="A58" s="978"/>
      <c r="B58" s="101" t="s">
        <v>888</v>
      </c>
    </row>
    <row r="59" spans="1:2" s="927" customFormat="1" ht="15">
      <c r="A59" s="1124"/>
      <c r="B59" s="101" t="s">
        <v>1205</v>
      </c>
    </row>
    <row r="60" s="927" customFormat="1" ht="15"/>
    <row r="61" s="927" customFormat="1" ht="15"/>
    <row r="62" s="927" customFormat="1" ht="15"/>
    <row r="63" s="927" customFormat="1" ht="15"/>
    <row r="64" s="927" customFormat="1" ht="15"/>
    <row r="65" s="927" customFormat="1" ht="15"/>
    <row r="66" s="927" customFormat="1" ht="15"/>
    <row r="67" s="927" customFormat="1" ht="15"/>
    <row r="68" s="927" customFormat="1" ht="15"/>
    <row r="69" s="927" customFormat="1" ht="15"/>
    <row r="70" s="927" customFormat="1" ht="15"/>
    <row r="71" s="927" customFormat="1" ht="15"/>
    <row r="72" s="927" customFormat="1" ht="15"/>
    <row r="73" s="927" customFormat="1" ht="15"/>
    <row r="74" s="927" customFormat="1" ht="15"/>
    <row r="75" s="927" customFormat="1" ht="15"/>
    <row r="76" s="927" customFormat="1" ht="15"/>
    <row r="77" s="927" customFormat="1" ht="15"/>
    <row r="78" s="927" customFormat="1" ht="15"/>
    <row r="79" s="927" customFormat="1" ht="15"/>
    <row r="80" s="927" customFormat="1" ht="15"/>
    <row r="81" s="927" customFormat="1" ht="15"/>
    <row r="82" s="927" customFormat="1" ht="15"/>
    <row r="83" s="927" customFormat="1" ht="15"/>
    <row r="84" s="927" customFormat="1" ht="15"/>
    <row r="85" s="927" customFormat="1" ht="15"/>
    <row r="86" s="927" customFormat="1" ht="15"/>
    <row r="87" s="927" customFormat="1" ht="15"/>
    <row r="88" s="927" customFormat="1" ht="15"/>
    <row r="89" s="927" customFormat="1" ht="15"/>
    <row r="90" s="927" customFormat="1" ht="15"/>
    <row r="91" s="927" customFormat="1" ht="15"/>
    <row r="92" s="927" customFormat="1" ht="15"/>
    <row r="93" s="927" customFormat="1" ht="15"/>
    <row r="94" s="927" customFormat="1" ht="15"/>
    <row r="95" s="927" customFormat="1" ht="15"/>
    <row r="96" s="927" customFormat="1" ht="15"/>
    <row r="97" s="927" customFormat="1" ht="15"/>
    <row r="98" s="927" customFormat="1" ht="15"/>
    <row r="99" s="927" customFormat="1" ht="15"/>
    <row r="100" s="927" customFormat="1" ht="15"/>
    <row r="101" s="927" customFormat="1" ht="15"/>
    <row r="102" s="927" customFormat="1" ht="15"/>
    <row r="103" s="927" customFormat="1" ht="15"/>
  </sheetData>
  <sheetProtection/>
  <mergeCells count="36">
    <mergeCell ref="K28:K30"/>
    <mergeCell ref="A2:B2"/>
    <mergeCell ref="A5:K5"/>
    <mergeCell ref="A3:A4"/>
    <mergeCell ref="F2:K2"/>
    <mergeCell ref="C3:C4"/>
    <mergeCell ref="E3:E4"/>
    <mergeCell ref="D3:D4"/>
    <mergeCell ref="F3:F4"/>
    <mergeCell ref="H3:K3"/>
    <mergeCell ref="G3:G4"/>
    <mergeCell ref="B11:F11"/>
    <mergeCell ref="D6:D8"/>
    <mergeCell ref="F6:F8"/>
    <mergeCell ref="I28:I30"/>
    <mergeCell ref="J28:J30"/>
    <mergeCell ref="B32:H32"/>
    <mergeCell ref="B38:H38"/>
    <mergeCell ref="B6:B9"/>
    <mergeCell ref="B16:F16"/>
    <mergeCell ref="F18:F20"/>
    <mergeCell ref="B26:H26"/>
    <mergeCell ref="B13:F13"/>
    <mergeCell ref="F28:F30"/>
    <mergeCell ref="B15:K15"/>
    <mergeCell ref="B31:K31"/>
    <mergeCell ref="B40:H40"/>
    <mergeCell ref="B46:F46"/>
    <mergeCell ref="A49:A50"/>
    <mergeCell ref="B52:F52"/>
    <mergeCell ref="E6:E8"/>
    <mergeCell ref="H28:H30"/>
    <mergeCell ref="A18:A20"/>
    <mergeCell ref="A22:A25"/>
    <mergeCell ref="B37:K37"/>
    <mergeCell ref="B10:K10"/>
  </mergeCells>
  <conditionalFormatting sqref="G8 G18:G25 G50:G51">
    <cfRule type="cellIs" priority="52" dxfId="2" operator="equal" stopIfTrue="1">
      <formula>3</formula>
    </cfRule>
    <cfRule type="cellIs" priority="53" dxfId="0" operator="equal" stopIfTrue="1">
      <formula>2</formula>
    </cfRule>
    <cfRule type="cellIs" priority="54" dxfId="7" operator="equal" stopIfTrue="1">
      <formula>1</formula>
    </cfRule>
  </conditionalFormatting>
  <conditionalFormatting sqref="G14">
    <cfRule type="cellIs" priority="49" dxfId="2" operator="equal" stopIfTrue="1">
      <formula>3</formula>
    </cfRule>
    <cfRule type="cellIs" priority="50" dxfId="0" operator="equal" stopIfTrue="1">
      <formula>2</formula>
    </cfRule>
    <cfRule type="cellIs" priority="51" dxfId="7" operator="equal" stopIfTrue="1">
      <formula>1</formula>
    </cfRule>
  </conditionalFormatting>
  <conditionalFormatting sqref="G19">
    <cfRule type="cellIs" priority="43" dxfId="2" operator="equal" stopIfTrue="1">
      <formula>3</formula>
    </cfRule>
    <cfRule type="cellIs" priority="44" dxfId="0" operator="equal" stopIfTrue="1">
      <formula>2</formula>
    </cfRule>
    <cfRule type="cellIs" priority="45" dxfId="7" operator="equal" stopIfTrue="1">
      <formula>1</formula>
    </cfRule>
  </conditionalFormatting>
  <conditionalFormatting sqref="G27:G30">
    <cfRule type="cellIs" priority="40" dxfId="2" operator="equal" stopIfTrue="1">
      <formula>3</formula>
    </cfRule>
    <cfRule type="cellIs" priority="41" dxfId="0" operator="equal" stopIfTrue="1">
      <formula>2</formula>
    </cfRule>
    <cfRule type="cellIs" priority="42" dxfId="7" operator="equal" stopIfTrue="1">
      <formula>1</formula>
    </cfRule>
  </conditionalFormatting>
  <conditionalFormatting sqref="G33:G36">
    <cfRule type="cellIs" priority="37" dxfId="2" operator="equal" stopIfTrue="1">
      <formula>3</formula>
    </cfRule>
    <cfRule type="cellIs" priority="38" dxfId="0" operator="equal" stopIfTrue="1">
      <formula>2</formula>
    </cfRule>
    <cfRule type="cellIs" priority="39" dxfId="7" operator="equal" stopIfTrue="1">
      <formula>1</formula>
    </cfRule>
  </conditionalFormatting>
  <conditionalFormatting sqref="G39">
    <cfRule type="cellIs" priority="34" dxfId="2" operator="equal" stopIfTrue="1">
      <formula>3</formula>
    </cfRule>
    <cfRule type="cellIs" priority="35" dxfId="0" operator="equal" stopIfTrue="1">
      <formula>2</formula>
    </cfRule>
    <cfRule type="cellIs" priority="36" dxfId="7" operator="equal" stopIfTrue="1">
      <formula>1</formula>
    </cfRule>
  </conditionalFormatting>
  <conditionalFormatting sqref="G41:G45">
    <cfRule type="cellIs" priority="31" dxfId="2" operator="equal" stopIfTrue="1">
      <formula>3</formula>
    </cfRule>
    <cfRule type="cellIs" priority="32" dxfId="0" operator="equal" stopIfTrue="1">
      <formula>2</formula>
    </cfRule>
    <cfRule type="cellIs" priority="33" dxfId="7" operator="equal" stopIfTrue="1">
      <formula>1</formula>
    </cfRule>
  </conditionalFormatting>
  <conditionalFormatting sqref="G47 G49">
    <cfRule type="cellIs" priority="28" dxfId="2" operator="equal" stopIfTrue="1">
      <formula>3</formula>
    </cfRule>
    <cfRule type="cellIs" priority="29" dxfId="0" operator="equal" stopIfTrue="1">
      <formula>2</formula>
    </cfRule>
    <cfRule type="cellIs" priority="30" dxfId="7" operator="equal" stopIfTrue="1">
      <formula>1</formula>
    </cfRule>
  </conditionalFormatting>
  <conditionalFormatting sqref="G53:G54">
    <cfRule type="cellIs" priority="25" dxfId="2" operator="equal" stopIfTrue="1">
      <formula>3</formula>
    </cfRule>
    <cfRule type="cellIs" priority="26" dxfId="0" operator="equal" stopIfTrue="1">
      <formula>2</formula>
    </cfRule>
    <cfRule type="cellIs" priority="27" dxfId="7" operator="equal" stopIfTrue="1">
      <formula>1</formula>
    </cfRule>
  </conditionalFormatting>
  <conditionalFormatting sqref="G12">
    <cfRule type="cellIs" priority="22" dxfId="2" operator="equal" stopIfTrue="1">
      <formula>3</formula>
    </cfRule>
    <cfRule type="cellIs" priority="23" dxfId="0" operator="equal" stopIfTrue="1">
      <formula>2</formula>
    </cfRule>
    <cfRule type="cellIs" priority="24" dxfId="7" operator="equal" stopIfTrue="1">
      <formula>1</formula>
    </cfRule>
  </conditionalFormatting>
  <conditionalFormatting sqref="G6">
    <cfRule type="cellIs" priority="19" dxfId="2" operator="equal" stopIfTrue="1">
      <formula>3</formula>
    </cfRule>
    <cfRule type="cellIs" priority="20" dxfId="0" operator="equal" stopIfTrue="1">
      <formula>2</formula>
    </cfRule>
    <cfRule type="cellIs" priority="21" dxfId="7" operator="equal" stopIfTrue="1">
      <formula>1</formula>
    </cfRule>
  </conditionalFormatting>
  <conditionalFormatting sqref="G7">
    <cfRule type="cellIs" priority="16" dxfId="2" operator="equal" stopIfTrue="1">
      <formula>3</formula>
    </cfRule>
    <cfRule type="cellIs" priority="17" dxfId="0" operator="equal" stopIfTrue="1">
      <formula>2</formula>
    </cfRule>
    <cfRule type="cellIs" priority="18" dxfId="7" operator="equal" stopIfTrue="1">
      <formula>1</formula>
    </cfRule>
  </conditionalFormatting>
  <conditionalFormatting sqref="G9">
    <cfRule type="cellIs" priority="10" dxfId="2" operator="equal" stopIfTrue="1">
      <formula>3</formula>
    </cfRule>
    <cfRule type="cellIs" priority="11" dxfId="0" operator="equal" stopIfTrue="1">
      <formula>2</formula>
    </cfRule>
    <cfRule type="cellIs" priority="12" dxfId="7" operator="equal" stopIfTrue="1">
      <formula>1</formula>
    </cfRule>
  </conditionalFormatting>
  <conditionalFormatting sqref="G48">
    <cfRule type="cellIs" priority="1" dxfId="2" operator="equal" stopIfTrue="1">
      <formula>3</formula>
    </cfRule>
    <cfRule type="cellIs" priority="2" dxfId="0" operator="equal" stopIfTrue="1">
      <formula>2</formula>
    </cfRule>
    <cfRule type="cellIs" priority="3" dxfId="7" operator="equal" stopIfTrue="1">
      <formula>1</formula>
    </cfRule>
  </conditionalFormatting>
  <dataValidations count="1">
    <dataValidation type="list" allowBlank="1" showInputMessage="1" showErrorMessage="1" sqref="G18:G25 G53:G54 G27:G30 G33:G36 G39 G41:G45 G6:G9 G12 G14 G47:G51">
      <formula1>"1, 2, 3"</formula1>
    </dataValidation>
  </dataValidations>
  <printOptions horizontalCentered="1" verticalCentered="1"/>
  <pageMargins left="0.37" right="0.3" top="0.76" bottom="0.63" header="0.28" footer="0.16"/>
  <pageSetup horizontalDpi="300" verticalDpi="300" orientation="landscape" scale="70" r:id="rId4"/>
  <drawing r:id="rId3"/>
  <legacyDrawing r:id="rId2"/>
</worksheet>
</file>

<file path=xl/worksheets/sheet8.xml><?xml version="1.0" encoding="utf-8"?>
<worksheet xmlns="http://schemas.openxmlformats.org/spreadsheetml/2006/main" xmlns:r="http://schemas.openxmlformats.org/officeDocument/2006/relationships">
  <dimension ref="A1:BX21"/>
  <sheetViews>
    <sheetView showGridLines="0" zoomScale="80" zoomScaleNormal="80" zoomScalePageLayoutView="0" workbookViewId="0" topLeftCell="A10">
      <selection activeCell="F11" sqref="F11:F13"/>
    </sheetView>
  </sheetViews>
  <sheetFormatPr defaultColWidth="9.140625" defaultRowHeight="12.75"/>
  <cols>
    <col min="1" max="1" width="31.421875" style="19" customWidth="1"/>
    <col min="2" max="2" width="18.28125" style="19" customWidth="1"/>
    <col min="3" max="3" width="36.421875" style="19" customWidth="1"/>
    <col min="4" max="4" width="9.8515625" style="10" customWidth="1"/>
    <col min="5" max="5" width="11.421875" style="10" customWidth="1"/>
    <col min="6" max="6" width="17.8515625" style="10" customWidth="1"/>
    <col min="7" max="7" width="30.00390625" style="10" customWidth="1"/>
    <col min="8" max="15" width="13.421875" style="19" customWidth="1"/>
    <col min="16" max="16" width="19.8515625" style="19" customWidth="1"/>
    <col min="17" max="16384" width="9.140625" style="19" customWidth="1"/>
  </cols>
  <sheetData>
    <row r="1" spans="1:76" s="49" customFormat="1" ht="36" customHeight="1" thickBot="1">
      <c r="A1" s="109"/>
      <c r="B1" s="110"/>
      <c r="C1" s="110"/>
      <c r="D1" s="111"/>
      <c r="E1" s="110"/>
      <c r="F1" s="110"/>
      <c r="G1" s="113"/>
      <c r="H1" s="44"/>
      <c r="I1" s="44"/>
      <c r="J1" s="44"/>
      <c r="K1" s="44"/>
      <c r="L1" s="44"/>
      <c r="M1" s="44"/>
      <c r="N1" s="45"/>
      <c r="O1" s="47"/>
      <c r="P1" s="47"/>
      <c r="Q1" s="44"/>
      <c r="R1" s="44"/>
      <c r="S1" s="44"/>
      <c r="T1" s="45"/>
      <c r="U1" s="45"/>
      <c r="V1" s="46"/>
      <c r="W1" s="47"/>
      <c r="X1" s="47"/>
      <c r="Y1" s="47"/>
      <c r="Z1" s="44"/>
      <c r="AA1" s="44"/>
      <c r="AB1" s="44"/>
      <c r="AC1" s="44"/>
      <c r="AD1" s="44"/>
      <c r="AE1" s="44"/>
      <c r="AF1" s="44"/>
      <c r="AG1" s="45"/>
      <c r="AH1" s="45"/>
      <c r="AI1" s="46"/>
      <c r="AJ1" s="47"/>
      <c r="AK1" s="47"/>
      <c r="AL1" s="47"/>
      <c r="AM1" s="44"/>
      <c r="AN1" s="44"/>
      <c r="AO1" s="44"/>
      <c r="AP1" s="44"/>
      <c r="AQ1" s="44"/>
      <c r="AR1" s="44"/>
      <c r="AS1" s="44"/>
      <c r="AT1" s="45"/>
      <c r="AU1" s="45"/>
      <c r="AV1" s="46"/>
      <c r="AW1" s="47"/>
      <c r="AX1" s="47"/>
      <c r="AY1" s="47"/>
      <c r="AZ1" s="44"/>
      <c r="BA1" s="44"/>
      <c r="BB1" s="44"/>
      <c r="BC1" s="44"/>
      <c r="BD1" s="44"/>
      <c r="BE1" s="44"/>
      <c r="BF1" s="44"/>
      <c r="BG1" s="48"/>
      <c r="BH1" s="48"/>
      <c r="BI1" s="48"/>
      <c r="BJ1" s="48"/>
      <c r="BK1" s="48"/>
      <c r="BL1" s="48"/>
      <c r="BM1" s="48"/>
      <c r="BN1" s="48"/>
      <c r="BO1" s="48"/>
      <c r="BP1" s="48"/>
      <c r="BQ1" s="48"/>
      <c r="BR1" s="48"/>
      <c r="BS1" s="48"/>
      <c r="BT1" s="48"/>
      <c r="BU1" s="48"/>
      <c r="BV1" s="48"/>
      <c r="BW1" s="48"/>
      <c r="BX1" s="48"/>
    </row>
    <row r="2" spans="1:7" s="9" customFormat="1" ht="16.5" thickBot="1">
      <c r="A2" s="1505" t="s">
        <v>198</v>
      </c>
      <c r="B2" s="1506"/>
      <c r="C2" s="1506"/>
      <c r="D2" s="1506"/>
      <c r="E2" s="1506"/>
      <c r="F2" s="1507"/>
      <c r="G2" s="1508"/>
    </row>
    <row r="3" spans="1:16" ht="15" customHeight="1">
      <c r="A3" s="1509" t="s">
        <v>901</v>
      </c>
      <c r="B3" s="1509" t="s">
        <v>902</v>
      </c>
      <c r="C3" s="1510" t="s">
        <v>903</v>
      </c>
      <c r="D3" s="1509" t="s">
        <v>81</v>
      </c>
      <c r="E3" s="1509" t="s">
        <v>561</v>
      </c>
      <c r="F3" s="1502" t="s">
        <v>891</v>
      </c>
      <c r="G3" s="1501" t="s">
        <v>892</v>
      </c>
      <c r="H3" s="1500" t="s">
        <v>893</v>
      </c>
      <c r="I3" s="1501" t="s">
        <v>894</v>
      </c>
      <c r="J3" s="1501" t="s">
        <v>895</v>
      </c>
      <c r="K3" s="1502" t="s">
        <v>896</v>
      </c>
      <c r="L3" s="1502"/>
      <c r="M3" s="1501" t="s">
        <v>897</v>
      </c>
      <c r="N3" s="1503" t="s">
        <v>898</v>
      </c>
      <c r="O3" s="1504"/>
      <c r="P3" s="1472" t="s">
        <v>1491</v>
      </c>
    </row>
    <row r="4" spans="1:16" ht="42.75" customHeight="1">
      <c r="A4" s="1509"/>
      <c r="B4" s="1509"/>
      <c r="C4" s="1511"/>
      <c r="D4" s="1509"/>
      <c r="E4" s="1509"/>
      <c r="F4" s="1502"/>
      <c r="G4" s="1501"/>
      <c r="H4" s="1500"/>
      <c r="I4" s="1501"/>
      <c r="J4" s="1501"/>
      <c r="K4" s="984" t="s">
        <v>899</v>
      </c>
      <c r="L4" s="984" t="s">
        <v>900</v>
      </c>
      <c r="M4" s="1501"/>
      <c r="N4" s="984" t="s">
        <v>629</v>
      </c>
      <c r="O4" s="1262" t="s">
        <v>55</v>
      </c>
      <c r="P4" s="1473"/>
    </row>
    <row r="5" spans="1:16" ht="76.5">
      <c r="A5" s="1486" t="s">
        <v>1465</v>
      </c>
      <c r="B5" s="1489" t="s">
        <v>1431</v>
      </c>
      <c r="C5" s="1477" t="s">
        <v>1436</v>
      </c>
      <c r="D5" s="1494">
        <v>2</v>
      </c>
      <c r="E5" s="1496" t="s">
        <v>1443</v>
      </c>
      <c r="F5" s="1238" t="s">
        <v>1446</v>
      </c>
      <c r="G5" s="1239" t="s">
        <v>1447</v>
      </c>
      <c r="H5" s="1240" t="s">
        <v>1448</v>
      </c>
      <c r="I5" s="1241" t="s">
        <v>1449</v>
      </c>
      <c r="J5" s="1242" t="s">
        <v>1448</v>
      </c>
      <c r="K5" s="1239" t="s">
        <v>1450</v>
      </c>
      <c r="L5" s="1243" t="s">
        <v>1451</v>
      </c>
      <c r="M5" s="1239" t="s">
        <v>1452</v>
      </c>
      <c r="N5" s="1241" t="s">
        <v>1449</v>
      </c>
      <c r="O5" s="1250" t="s">
        <v>1453</v>
      </c>
      <c r="P5" s="28"/>
    </row>
    <row r="6" spans="1:16" ht="76.5">
      <c r="A6" s="1488"/>
      <c r="B6" s="1491"/>
      <c r="C6" s="1479"/>
      <c r="D6" s="1495"/>
      <c r="E6" s="1497"/>
      <c r="F6" s="1238" t="s">
        <v>1454</v>
      </c>
      <c r="G6" s="1244" t="s">
        <v>1455</v>
      </c>
      <c r="H6" s="1245" t="s">
        <v>1448</v>
      </c>
      <c r="I6" s="1246" t="s">
        <v>1449</v>
      </c>
      <c r="J6" s="1247" t="s">
        <v>1448</v>
      </c>
      <c r="K6" s="1248" t="s">
        <v>1456</v>
      </c>
      <c r="L6" s="1249" t="s">
        <v>1451</v>
      </c>
      <c r="M6" s="1248" t="s">
        <v>1452</v>
      </c>
      <c r="N6" s="1246" t="s">
        <v>1449</v>
      </c>
      <c r="O6" s="1250" t="s">
        <v>1453</v>
      </c>
      <c r="P6" s="28"/>
    </row>
    <row r="7" spans="1:16" ht="89.25">
      <c r="A7" s="1486" t="s">
        <v>1466</v>
      </c>
      <c r="B7" s="1489" t="s">
        <v>1431</v>
      </c>
      <c r="C7" s="1477" t="s">
        <v>1437</v>
      </c>
      <c r="D7" s="1494">
        <v>2</v>
      </c>
      <c r="E7" s="1496" t="s">
        <v>1443</v>
      </c>
      <c r="F7" s="1474" t="s">
        <v>1457</v>
      </c>
      <c r="G7" s="1239" t="s">
        <v>1458</v>
      </c>
      <c r="H7" s="1251"/>
      <c r="I7" s="1252">
        <v>40666</v>
      </c>
      <c r="J7" s="1253">
        <v>40669</v>
      </c>
      <c r="K7" s="1239" t="s">
        <v>1459</v>
      </c>
      <c r="L7" s="1249" t="s">
        <v>1451</v>
      </c>
      <c r="M7" s="1239" t="s">
        <v>1460</v>
      </c>
      <c r="N7" s="1253">
        <v>40669</v>
      </c>
      <c r="O7" s="1263">
        <v>40676</v>
      </c>
      <c r="P7" s="28"/>
    </row>
    <row r="8" spans="1:16" ht="89.25">
      <c r="A8" s="1487"/>
      <c r="B8" s="1490"/>
      <c r="C8" s="1478"/>
      <c r="D8" s="1498"/>
      <c r="E8" s="1499"/>
      <c r="F8" s="1475"/>
      <c r="G8" s="1239" t="s">
        <v>1461</v>
      </c>
      <c r="H8" s="1251"/>
      <c r="I8" s="1252">
        <v>40666</v>
      </c>
      <c r="J8" s="1253">
        <v>40669</v>
      </c>
      <c r="K8" s="1239" t="s">
        <v>1462</v>
      </c>
      <c r="L8" s="1249" t="s">
        <v>1451</v>
      </c>
      <c r="M8" s="1239" t="s">
        <v>1463</v>
      </c>
      <c r="N8" s="1253">
        <v>40669</v>
      </c>
      <c r="O8" s="1264" t="s">
        <v>1448</v>
      </c>
      <c r="P8" s="28"/>
    </row>
    <row r="9" spans="1:16" ht="89.25">
      <c r="A9" s="1488"/>
      <c r="B9" s="1491"/>
      <c r="C9" s="1479"/>
      <c r="D9" s="1495"/>
      <c r="E9" s="1497"/>
      <c r="F9" s="1476"/>
      <c r="G9" s="1248" t="s">
        <v>1464</v>
      </c>
      <c r="H9" s="1254"/>
      <c r="I9" s="1253">
        <v>40675</v>
      </c>
      <c r="J9" s="1253">
        <v>40676</v>
      </c>
      <c r="K9" s="1248" t="s">
        <v>1456</v>
      </c>
      <c r="L9" s="1249" t="s">
        <v>1451</v>
      </c>
      <c r="M9" s="1248" t="s">
        <v>1460</v>
      </c>
      <c r="N9" s="1253">
        <v>40675</v>
      </c>
      <c r="O9" s="1263">
        <v>40676</v>
      </c>
      <c r="P9" s="28"/>
    </row>
    <row r="10" spans="1:16" ht="102">
      <c r="A10" s="998" t="s">
        <v>1467</v>
      </c>
      <c r="B10" s="1234" t="s">
        <v>1432</v>
      </c>
      <c r="C10" s="1236" t="s">
        <v>1438</v>
      </c>
      <c r="D10" s="982">
        <v>3</v>
      </c>
      <c r="E10" s="983" t="s">
        <v>1444</v>
      </c>
      <c r="F10" s="1255" t="s">
        <v>1470</v>
      </c>
      <c r="G10" s="1248" t="s">
        <v>1471</v>
      </c>
      <c r="H10" s="1256"/>
      <c r="I10" s="1253">
        <v>40548</v>
      </c>
      <c r="J10" s="1253">
        <v>42003</v>
      </c>
      <c r="K10" s="1248" t="s">
        <v>362</v>
      </c>
      <c r="L10" s="1249" t="s">
        <v>1451</v>
      </c>
      <c r="M10" s="1248" t="s">
        <v>1472</v>
      </c>
      <c r="N10" s="1257" t="s">
        <v>1473</v>
      </c>
      <c r="O10" s="1265" t="s">
        <v>1211</v>
      </c>
      <c r="P10" s="28"/>
    </row>
    <row r="11" spans="1:16" ht="90" customHeight="1">
      <c r="A11" s="1486" t="s">
        <v>1468</v>
      </c>
      <c r="B11" s="1489" t="s">
        <v>1432</v>
      </c>
      <c r="C11" s="1477" t="s">
        <v>1439</v>
      </c>
      <c r="D11" s="1480">
        <v>3</v>
      </c>
      <c r="E11" s="1483" t="s">
        <v>1444</v>
      </c>
      <c r="F11" s="1492" t="s">
        <v>1474</v>
      </c>
      <c r="G11" s="1244" t="s">
        <v>1475</v>
      </c>
      <c r="H11" s="1254"/>
      <c r="I11" s="1253" t="s">
        <v>1476</v>
      </c>
      <c r="J11" s="1253" t="s">
        <v>1476</v>
      </c>
      <c r="K11" s="1248" t="s">
        <v>362</v>
      </c>
      <c r="L11" s="1249" t="s">
        <v>1451</v>
      </c>
      <c r="M11" s="1248" t="s">
        <v>1477</v>
      </c>
      <c r="N11" s="1257" t="s">
        <v>1211</v>
      </c>
      <c r="O11" s="1265" t="s">
        <v>1211</v>
      </c>
      <c r="P11" s="28"/>
    </row>
    <row r="12" spans="1:16" ht="25.5">
      <c r="A12" s="1487"/>
      <c r="B12" s="1490"/>
      <c r="C12" s="1478"/>
      <c r="D12" s="1481"/>
      <c r="E12" s="1484"/>
      <c r="F12" s="1492"/>
      <c r="G12" s="1258" t="s">
        <v>1478</v>
      </c>
      <c r="H12" s="1254"/>
      <c r="I12" s="1253" t="s">
        <v>1476</v>
      </c>
      <c r="J12" s="1253" t="s">
        <v>1476</v>
      </c>
      <c r="K12" s="1248" t="s">
        <v>362</v>
      </c>
      <c r="L12" s="1249" t="s">
        <v>1451</v>
      </c>
      <c r="M12" s="1258" t="s">
        <v>1479</v>
      </c>
      <c r="N12" s="1257" t="s">
        <v>1211</v>
      </c>
      <c r="O12" s="1266" t="s">
        <v>1211</v>
      </c>
      <c r="P12" s="28"/>
    </row>
    <row r="13" spans="1:16" ht="38.25">
      <c r="A13" s="1488"/>
      <c r="B13" s="1491"/>
      <c r="C13" s="1479"/>
      <c r="D13" s="1482"/>
      <c r="E13" s="1485"/>
      <c r="F13" s="1493"/>
      <c r="G13" s="1258" t="s">
        <v>1480</v>
      </c>
      <c r="H13" s="1258" t="s">
        <v>1481</v>
      </c>
      <c r="I13" s="1253" t="s">
        <v>1482</v>
      </c>
      <c r="J13" s="1253" t="s">
        <v>1483</v>
      </c>
      <c r="K13" s="1248" t="s">
        <v>362</v>
      </c>
      <c r="L13" s="1249" t="s">
        <v>1451</v>
      </c>
      <c r="M13" s="1258" t="s">
        <v>1484</v>
      </c>
      <c r="N13" s="1257" t="s">
        <v>1314</v>
      </c>
      <c r="O13" s="1266" t="s">
        <v>1448</v>
      </c>
      <c r="P13" s="28"/>
    </row>
    <row r="14" spans="1:16" ht="89.25">
      <c r="A14" s="998" t="s">
        <v>1469</v>
      </c>
      <c r="B14" s="1234" t="s">
        <v>1433</v>
      </c>
      <c r="C14" s="1236" t="s">
        <v>1440</v>
      </c>
      <c r="D14" s="982">
        <v>2</v>
      </c>
      <c r="E14" s="1237" t="s">
        <v>1443</v>
      </c>
      <c r="F14" s="1248" t="s">
        <v>1487</v>
      </c>
      <c r="G14" s="1258" t="s">
        <v>1488</v>
      </c>
      <c r="H14" s="1254" t="s">
        <v>1448</v>
      </c>
      <c r="I14" s="1257" t="s">
        <v>1449</v>
      </c>
      <c r="J14" s="1259" t="s">
        <v>1448</v>
      </c>
      <c r="K14" s="1258" t="s">
        <v>1489</v>
      </c>
      <c r="L14" s="1249" t="s">
        <v>1451</v>
      </c>
      <c r="M14" s="1258" t="s">
        <v>1490</v>
      </c>
      <c r="N14" s="1257" t="s">
        <v>1314</v>
      </c>
      <c r="O14" s="1266" t="s">
        <v>1211</v>
      </c>
      <c r="P14" s="28"/>
    </row>
    <row r="15" spans="1:16" ht="89.25">
      <c r="A15" s="998" t="s">
        <v>1485</v>
      </c>
      <c r="B15" s="1234" t="s">
        <v>1434</v>
      </c>
      <c r="C15" s="1236" t="s">
        <v>1441</v>
      </c>
      <c r="D15" s="982">
        <v>1</v>
      </c>
      <c r="E15" s="983" t="s">
        <v>1445</v>
      </c>
      <c r="F15" s="1260"/>
      <c r="G15" s="1260"/>
      <c r="H15" s="1261"/>
      <c r="I15" s="1261"/>
      <c r="J15" s="1261"/>
      <c r="K15" s="1261"/>
      <c r="L15" s="1261"/>
      <c r="M15" s="1261"/>
      <c r="N15" s="1261"/>
      <c r="O15" s="1267"/>
      <c r="P15" s="28"/>
    </row>
    <row r="16" spans="1:16" ht="60">
      <c r="A16" s="998" t="s">
        <v>1486</v>
      </c>
      <c r="B16" s="1235" t="s">
        <v>1435</v>
      </c>
      <c r="C16" s="1236" t="s">
        <v>1442</v>
      </c>
      <c r="D16" s="982">
        <v>1</v>
      </c>
      <c r="E16" s="983" t="s">
        <v>1445</v>
      </c>
      <c r="F16" s="1260"/>
      <c r="G16" s="1260"/>
      <c r="H16" s="1261"/>
      <c r="I16" s="1261"/>
      <c r="J16" s="1261"/>
      <c r="K16" s="1261"/>
      <c r="L16" s="1261"/>
      <c r="M16" s="1261"/>
      <c r="N16" s="1261"/>
      <c r="O16" s="1267"/>
      <c r="P16" s="28"/>
    </row>
    <row r="17" spans="1:16" ht="15">
      <c r="A17" s="980"/>
      <c r="B17" s="982"/>
      <c r="C17" s="981"/>
      <c r="D17" s="982"/>
      <c r="E17" s="983"/>
      <c r="F17" s="204"/>
      <c r="G17" s="204"/>
      <c r="H17" s="28"/>
      <c r="I17" s="28"/>
      <c r="J17" s="28"/>
      <c r="K17" s="28"/>
      <c r="L17" s="28"/>
      <c r="M17" s="28"/>
      <c r="N17" s="28"/>
      <c r="O17" s="1268"/>
      <c r="P17" s="28"/>
    </row>
    <row r="18" spans="1:16" ht="15">
      <c r="A18" s="980"/>
      <c r="B18" s="982"/>
      <c r="C18" s="981"/>
      <c r="D18" s="982"/>
      <c r="E18" s="983"/>
      <c r="F18" s="204"/>
      <c r="G18" s="204"/>
      <c r="H18" s="28"/>
      <c r="I18" s="28"/>
      <c r="J18" s="28"/>
      <c r="K18" s="28"/>
      <c r="L18" s="28"/>
      <c r="M18" s="28"/>
      <c r="N18" s="28"/>
      <c r="O18" s="1268"/>
      <c r="P18" s="28"/>
    </row>
    <row r="19" spans="1:16" ht="15">
      <c r="A19" s="980"/>
      <c r="B19" s="982"/>
      <c r="C19" s="981"/>
      <c r="D19" s="982"/>
      <c r="E19" s="983"/>
      <c r="F19" s="204"/>
      <c r="G19" s="204"/>
      <c r="H19" s="28"/>
      <c r="I19" s="28"/>
      <c r="J19" s="28"/>
      <c r="K19" s="28"/>
      <c r="L19" s="28"/>
      <c r="M19" s="28"/>
      <c r="N19" s="28"/>
      <c r="O19" s="1268"/>
      <c r="P19" s="28"/>
    </row>
    <row r="20" spans="1:16" ht="15">
      <c r="A20" s="980"/>
      <c r="B20" s="982"/>
      <c r="C20" s="981"/>
      <c r="D20" s="982"/>
      <c r="E20" s="983"/>
      <c r="F20" s="204"/>
      <c r="G20" s="204"/>
      <c r="H20" s="28"/>
      <c r="I20" s="28"/>
      <c r="J20" s="28"/>
      <c r="K20" s="28"/>
      <c r="L20" s="28"/>
      <c r="M20" s="28"/>
      <c r="N20" s="28"/>
      <c r="O20" s="1268"/>
      <c r="P20" s="28"/>
    </row>
    <row r="21" spans="1:16" ht="15">
      <c r="A21" s="980"/>
      <c r="B21" s="982"/>
      <c r="C21" s="981"/>
      <c r="D21" s="982"/>
      <c r="E21" s="983"/>
      <c r="F21" s="204"/>
      <c r="G21" s="204"/>
      <c r="H21" s="28"/>
      <c r="I21" s="28"/>
      <c r="J21" s="28"/>
      <c r="K21" s="28"/>
      <c r="L21" s="28"/>
      <c r="M21" s="28"/>
      <c r="N21" s="28"/>
      <c r="O21" s="1268"/>
      <c r="P21" s="28"/>
    </row>
  </sheetData>
  <sheetProtection/>
  <mergeCells count="32">
    <mergeCell ref="A2:G2"/>
    <mergeCell ref="F3:F4"/>
    <mergeCell ref="G3:G4"/>
    <mergeCell ref="A3:A4"/>
    <mergeCell ref="B3:B4"/>
    <mergeCell ref="D3:D4"/>
    <mergeCell ref="E3:E4"/>
    <mergeCell ref="C3:C4"/>
    <mergeCell ref="H3:H4"/>
    <mergeCell ref="I3:I4"/>
    <mergeCell ref="J3:J4"/>
    <mergeCell ref="K3:L3"/>
    <mergeCell ref="M3:M4"/>
    <mergeCell ref="N3:O3"/>
    <mergeCell ref="B5:B6"/>
    <mergeCell ref="C5:C6"/>
    <mergeCell ref="D5:D6"/>
    <mergeCell ref="E5:E6"/>
    <mergeCell ref="B7:B9"/>
    <mergeCell ref="C7:C9"/>
    <mergeCell ref="D7:D9"/>
    <mergeCell ref="E7:E9"/>
    <mergeCell ref="P3:P4"/>
    <mergeCell ref="F7:F9"/>
    <mergeCell ref="C11:C13"/>
    <mergeCell ref="D11:D13"/>
    <mergeCell ref="E11:E13"/>
    <mergeCell ref="A7:A9"/>
    <mergeCell ref="A5:A6"/>
    <mergeCell ref="A11:A13"/>
    <mergeCell ref="B11:B13"/>
    <mergeCell ref="F11:F13"/>
  </mergeCells>
  <conditionalFormatting sqref="E16:E19">
    <cfRule type="cellIs" priority="79" dxfId="2" operator="equal" stopIfTrue="1">
      <formula>"Muito Alto"</formula>
    </cfRule>
    <cfRule type="cellIs" priority="80" dxfId="1" operator="equal" stopIfTrue="1">
      <formula>"Alto"</formula>
    </cfRule>
    <cfRule type="cellIs" priority="81" dxfId="0" operator="equal" stopIfTrue="1">
      <formula>"Moderado"</formula>
    </cfRule>
    <cfRule type="cellIs" priority="82" dxfId="7" operator="equal" stopIfTrue="1">
      <formula>"Baixo"</formula>
    </cfRule>
  </conditionalFormatting>
  <conditionalFormatting sqref="E20:E21">
    <cfRule type="cellIs" priority="75" dxfId="2" operator="equal" stopIfTrue="1">
      <formula>"Muito Alto"</formula>
    </cfRule>
    <cfRule type="cellIs" priority="76" dxfId="1" operator="equal" stopIfTrue="1">
      <formula>"Alto"</formula>
    </cfRule>
    <cfRule type="cellIs" priority="77" dxfId="0" operator="equal" stopIfTrue="1">
      <formula>"Moderado"</formula>
    </cfRule>
    <cfRule type="cellIs" priority="78" dxfId="7" operator="equal" stopIfTrue="1">
      <formula>"Baixo"</formula>
    </cfRule>
  </conditionalFormatting>
  <conditionalFormatting sqref="E5">
    <cfRule type="cellIs" priority="52" dxfId="2" operator="equal" stopIfTrue="1">
      <formula>"Muito Alto"</formula>
    </cfRule>
    <cfRule type="cellIs" priority="53" dxfId="1" operator="equal" stopIfTrue="1">
      <formula>"Alto"</formula>
    </cfRule>
    <cfRule type="cellIs" priority="54" dxfId="0" operator="equal" stopIfTrue="1">
      <formula>"Moderado"</formula>
    </cfRule>
    <cfRule type="cellIs" priority="55" dxfId="7" operator="equal" stopIfTrue="1">
      <formula>"Baixo"</formula>
    </cfRule>
  </conditionalFormatting>
  <conditionalFormatting sqref="E15">
    <cfRule type="cellIs" priority="48" dxfId="2" operator="equal" stopIfTrue="1">
      <formula>"Muito Alto"</formula>
    </cfRule>
    <cfRule type="cellIs" priority="49" dxfId="1" operator="equal" stopIfTrue="1">
      <formula>"Alto"</formula>
    </cfRule>
    <cfRule type="cellIs" priority="50" dxfId="0" operator="equal" stopIfTrue="1">
      <formula>"Moderado"</formula>
    </cfRule>
    <cfRule type="cellIs" priority="51" dxfId="7" operator="equal" stopIfTrue="1">
      <formula>"Baixo"</formula>
    </cfRule>
  </conditionalFormatting>
  <conditionalFormatting sqref="E14">
    <cfRule type="cellIs" priority="39" dxfId="2" operator="equal" stopIfTrue="1">
      <formula>"Muito Alto"</formula>
    </cfRule>
    <cfRule type="cellIs" priority="40" dxfId="1" operator="equal" stopIfTrue="1">
      <formula>"Alto"</formula>
    </cfRule>
    <cfRule type="cellIs" priority="41" dxfId="0" operator="equal" stopIfTrue="1">
      <formula>"Moderado"</formula>
    </cfRule>
    <cfRule type="cellIs" priority="42" dxfId="7" operator="equal" stopIfTrue="1">
      <formula>"Baixo"</formula>
    </cfRule>
  </conditionalFormatting>
  <conditionalFormatting sqref="E11">
    <cfRule type="cellIs" priority="23" dxfId="2" operator="equal" stopIfTrue="1">
      <formula>"Muito Alto"</formula>
    </cfRule>
    <cfRule type="cellIs" priority="24" dxfId="1" operator="equal" stopIfTrue="1">
      <formula>"Alto"</formula>
    </cfRule>
    <cfRule type="cellIs" priority="25" dxfId="0" operator="equal" stopIfTrue="1">
      <formula>"Moderado"</formula>
    </cfRule>
    <cfRule type="cellIs" priority="26" dxfId="7" operator="equal" stopIfTrue="1">
      <formula>"Baixo"</formula>
    </cfRule>
  </conditionalFormatting>
  <conditionalFormatting sqref="E10">
    <cfRule type="cellIs" priority="27" dxfId="2" operator="equal" stopIfTrue="1">
      <formula>"Muito Alto"</formula>
    </cfRule>
    <cfRule type="cellIs" priority="28" dxfId="1" operator="equal" stopIfTrue="1">
      <formula>"Alto"</formula>
    </cfRule>
    <cfRule type="cellIs" priority="29" dxfId="0" operator="equal" stopIfTrue="1">
      <formula>"Moderado"</formula>
    </cfRule>
    <cfRule type="cellIs" priority="30" dxfId="7" operator="equal" stopIfTrue="1">
      <formula>"Baixo"</formula>
    </cfRule>
  </conditionalFormatting>
  <conditionalFormatting sqref="E7">
    <cfRule type="cellIs" priority="15" dxfId="2" operator="equal" stopIfTrue="1">
      <formula>"Muito Alto"</formula>
    </cfRule>
    <cfRule type="cellIs" priority="16" dxfId="1" operator="equal" stopIfTrue="1">
      <formula>"Alto"</formula>
    </cfRule>
    <cfRule type="cellIs" priority="17" dxfId="0" operator="equal" stopIfTrue="1">
      <formula>"Moderado"</formula>
    </cfRule>
    <cfRule type="cellIs" priority="18" dxfId="7" operator="equal" stopIfTrue="1">
      <formula>"Baixo"</formula>
    </cfRule>
  </conditionalFormatting>
  <conditionalFormatting sqref="K9:M9 G9:H9">
    <cfRule type="expression" priority="10" dxfId="90">
      <formula>$F$18=1</formula>
    </cfRule>
  </conditionalFormatting>
  <conditionalFormatting sqref="F10:H10 K10:O10">
    <cfRule type="expression" priority="9" dxfId="90" stopIfTrue="1">
      <formula>$F$20=1</formula>
    </cfRule>
  </conditionalFormatting>
  <conditionalFormatting sqref="G11:H11 L11:O11">
    <cfRule type="expression" priority="8" dxfId="90">
      <formula>$F$24=1</formula>
    </cfRule>
  </conditionalFormatting>
  <conditionalFormatting sqref="K11">
    <cfRule type="expression" priority="7" dxfId="90" stopIfTrue="1">
      <formula>$F$20=1</formula>
    </cfRule>
  </conditionalFormatting>
  <conditionalFormatting sqref="F11">
    <cfRule type="expression" priority="6" dxfId="90" stopIfTrue="1">
      <formula>$F$20=1</formula>
    </cfRule>
  </conditionalFormatting>
  <conditionalFormatting sqref="G12:H13 L12:O13">
    <cfRule type="expression" priority="5" dxfId="90">
      <formula>$F$24=1</formula>
    </cfRule>
  </conditionalFormatting>
  <conditionalFormatting sqref="K12">
    <cfRule type="expression" priority="4" dxfId="90" stopIfTrue="1">
      <formula>$F$20=1</formula>
    </cfRule>
  </conditionalFormatting>
  <conditionalFormatting sqref="K13">
    <cfRule type="expression" priority="3" dxfId="90" stopIfTrue="1">
      <formula>$F$20=1</formula>
    </cfRule>
  </conditionalFormatting>
  <conditionalFormatting sqref="G14:O14">
    <cfRule type="expression" priority="2" dxfId="90">
      <formula>$F$28=1</formula>
    </cfRule>
  </conditionalFormatting>
  <conditionalFormatting sqref="F14">
    <cfRule type="expression" priority="1" dxfId="90">
      <formula>$F$24=1</formula>
    </cfRule>
  </conditionalFormatting>
  <dataValidations count="3">
    <dataValidation type="list" allowBlank="1" showInputMessage="1" showErrorMessage="1" sqref="L5:L6">
      <formula1>$N$98:$N$99</formula1>
    </dataValidation>
    <dataValidation type="list" allowBlank="1" showInputMessage="1" showErrorMessage="1" sqref="L7:L9">
      <formula1>$N$96:$N$97</formula1>
    </dataValidation>
    <dataValidation type="list" allowBlank="1" showInputMessage="1" showErrorMessage="1" sqref="L10:L14">
      <formula1>$N$94:$N$95</formula1>
    </dataValidation>
  </dataValidations>
  <printOptions horizontalCentered="1" verticalCentered="1"/>
  <pageMargins left="0.4724409448818898" right="0.4724409448818898" top="0.4724409448818898" bottom="0" header="0.2755905511811024" footer="0.3937007874015748"/>
  <pageSetup horizontalDpi="300" verticalDpi="300" orientation="landscape" scale="85" r:id="rId4"/>
  <drawing r:id="rId3"/>
  <legacyDrawing r:id="rId2"/>
</worksheet>
</file>

<file path=xl/worksheets/sheet9.xml><?xml version="1.0" encoding="utf-8"?>
<worksheet xmlns="http://schemas.openxmlformats.org/spreadsheetml/2006/main" xmlns:r="http://schemas.openxmlformats.org/officeDocument/2006/relationships">
  <dimension ref="A1:BX43"/>
  <sheetViews>
    <sheetView showGridLines="0" zoomScale="78" zoomScaleNormal="78" zoomScalePageLayoutView="0" workbookViewId="0" topLeftCell="A1">
      <pane ySplit="3" topLeftCell="A31" activePane="bottomLeft" state="frozen"/>
      <selection pane="topLeft" activeCell="A1" sqref="A1"/>
      <selection pane="bottomLeft" activeCell="D39" sqref="D39"/>
    </sheetView>
  </sheetViews>
  <sheetFormatPr defaultColWidth="9.140625" defaultRowHeight="12.75"/>
  <cols>
    <col min="1" max="1" width="11.8515625" style="19" customWidth="1"/>
    <col min="2" max="2" width="36.421875" style="19" customWidth="1"/>
    <col min="3" max="3" width="13.7109375" style="19" customWidth="1"/>
    <col min="4" max="4" width="14.28125" style="19" customWidth="1"/>
    <col min="5" max="5" width="18.28125" style="19" customWidth="1"/>
    <col min="6" max="6" width="19.7109375" style="19" customWidth="1"/>
    <col min="7" max="7" width="21.28125" style="19" customWidth="1"/>
    <col min="8" max="8" width="16.8515625" style="19" customWidth="1"/>
    <col min="9" max="9" width="18.8515625" style="19" customWidth="1"/>
    <col min="10" max="16384" width="9.140625" style="19" customWidth="1"/>
  </cols>
  <sheetData>
    <row r="1" spans="1:76" s="49" customFormat="1" ht="36" customHeight="1" thickBot="1">
      <c r="A1" s="109"/>
      <c r="B1" s="110"/>
      <c r="C1" s="110"/>
      <c r="D1" s="110"/>
      <c r="E1" s="111"/>
      <c r="F1" s="110"/>
      <c r="G1" s="110"/>
      <c r="H1" s="110"/>
      <c r="I1" s="113"/>
      <c r="J1" s="44"/>
      <c r="K1" s="44"/>
      <c r="L1" s="44"/>
      <c r="M1" s="44"/>
      <c r="N1" s="45"/>
      <c r="O1" s="47"/>
      <c r="P1" s="47"/>
      <c r="Q1" s="44"/>
      <c r="R1" s="44"/>
      <c r="S1" s="44"/>
      <c r="T1" s="45"/>
      <c r="U1" s="45"/>
      <c r="V1" s="46"/>
      <c r="W1" s="47"/>
      <c r="X1" s="47"/>
      <c r="Y1" s="47"/>
      <c r="Z1" s="44"/>
      <c r="AA1" s="44"/>
      <c r="AB1" s="44"/>
      <c r="AC1" s="44"/>
      <c r="AD1" s="44"/>
      <c r="AE1" s="44"/>
      <c r="AF1" s="44"/>
      <c r="AG1" s="45"/>
      <c r="AH1" s="45"/>
      <c r="AI1" s="46"/>
      <c r="AJ1" s="47"/>
      <c r="AK1" s="47"/>
      <c r="AL1" s="47"/>
      <c r="AM1" s="44"/>
      <c r="AN1" s="44"/>
      <c r="AO1" s="44"/>
      <c r="AP1" s="44"/>
      <c r="AQ1" s="44"/>
      <c r="AR1" s="44"/>
      <c r="AS1" s="44"/>
      <c r="AT1" s="45"/>
      <c r="AU1" s="45"/>
      <c r="AV1" s="46"/>
      <c r="AW1" s="47"/>
      <c r="AX1" s="47"/>
      <c r="AY1" s="47"/>
      <c r="AZ1" s="44"/>
      <c r="BA1" s="44"/>
      <c r="BB1" s="44"/>
      <c r="BC1" s="44"/>
      <c r="BD1" s="44"/>
      <c r="BE1" s="44"/>
      <c r="BF1" s="44"/>
      <c r="BG1" s="48"/>
      <c r="BH1" s="48"/>
      <c r="BI1" s="48"/>
      <c r="BJ1" s="48"/>
      <c r="BK1" s="48"/>
      <c r="BL1" s="48"/>
      <c r="BM1" s="48"/>
      <c r="BN1" s="48"/>
      <c r="BO1" s="48"/>
      <c r="BP1" s="48"/>
      <c r="BQ1" s="48"/>
      <c r="BR1" s="48"/>
      <c r="BS1" s="48"/>
      <c r="BT1" s="48"/>
      <c r="BU1" s="48"/>
      <c r="BV1" s="48"/>
      <c r="BW1" s="48"/>
      <c r="BX1" s="48"/>
    </row>
    <row r="2" spans="1:9" s="9" customFormat="1" ht="16.5" thickBot="1">
      <c r="A2" s="1505" t="s">
        <v>614</v>
      </c>
      <c r="B2" s="1506"/>
      <c r="C2" s="1506"/>
      <c r="D2" s="1506"/>
      <c r="E2" s="1506"/>
      <c r="F2" s="1506"/>
      <c r="G2" s="1506"/>
      <c r="H2" s="1506"/>
      <c r="I2" s="1508"/>
    </row>
    <row r="3" spans="1:9" ht="45.75" thickBot="1">
      <c r="A3" s="144" t="s">
        <v>200</v>
      </c>
      <c r="B3" s="145" t="s">
        <v>38</v>
      </c>
      <c r="C3" s="146" t="s">
        <v>49</v>
      </c>
      <c r="D3" s="146" t="s">
        <v>50</v>
      </c>
      <c r="E3" s="146" t="s">
        <v>46</v>
      </c>
      <c r="F3" s="146" t="s">
        <v>604</v>
      </c>
      <c r="G3" s="146" t="s">
        <v>39</v>
      </c>
      <c r="H3" s="146" t="s">
        <v>47</v>
      </c>
      <c r="I3" s="147" t="s">
        <v>54</v>
      </c>
    </row>
    <row r="4" spans="1:9" ht="15">
      <c r="A4" s="1512" t="s">
        <v>33</v>
      </c>
      <c r="B4" s="1513"/>
      <c r="C4" s="1513"/>
      <c r="D4" s="1513"/>
      <c r="E4" s="1513"/>
      <c r="F4" s="1513"/>
      <c r="G4" s="1513"/>
      <c r="H4" s="1513"/>
      <c r="I4" s="1514"/>
    </row>
    <row r="5" spans="1:9" s="2" customFormat="1" ht="26.25" customHeight="1" thickBot="1">
      <c r="A5" s="442" t="s">
        <v>402</v>
      </c>
      <c r="B5" s="443" t="s">
        <v>563</v>
      </c>
      <c r="C5" s="444"/>
      <c r="D5" s="445"/>
      <c r="E5" s="444"/>
      <c r="F5" s="446"/>
      <c r="G5" s="444"/>
      <c r="H5" s="446"/>
      <c r="I5" s="447"/>
    </row>
    <row r="6" spans="1:9" s="2" customFormat="1" ht="26.25" thickBot="1">
      <c r="A6" s="440" t="s">
        <v>562</v>
      </c>
      <c r="B6" s="581" t="s">
        <v>564</v>
      </c>
      <c r="C6" s="335">
        <v>40137</v>
      </c>
      <c r="D6" s="347"/>
      <c r="E6" s="335" t="s">
        <v>403</v>
      </c>
      <c r="F6" s="344" t="s">
        <v>404</v>
      </c>
      <c r="G6" s="335">
        <v>40064</v>
      </c>
      <c r="H6" s="344" t="s">
        <v>405</v>
      </c>
      <c r="I6" s="348"/>
    </row>
    <row r="7" spans="1:9" s="2" customFormat="1" ht="21.75" customHeight="1" thickBot="1">
      <c r="A7" s="441" t="s">
        <v>406</v>
      </c>
      <c r="B7" s="334" t="s">
        <v>29</v>
      </c>
      <c r="C7" s="333">
        <v>41415</v>
      </c>
      <c r="D7" s="577"/>
      <c r="E7" s="578"/>
      <c r="F7" s="578"/>
      <c r="G7" s="578"/>
      <c r="H7" s="579"/>
      <c r="I7" s="342"/>
    </row>
    <row r="8" spans="1:9" s="2" customFormat="1" ht="12.75">
      <c r="A8" s="1518" t="s">
        <v>407</v>
      </c>
      <c r="B8" s="1520" t="s">
        <v>408</v>
      </c>
      <c r="C8" s="576">
        <v>40055</v>
      </c>
      <c r="D8" s="335"/>
      <c r="E8" s="336">
        <v>40288</v>
      </c>
      <c r="F8" s="1522" t="s">
        <v>409</v>
      </c>
      <c r="G8" s="336"/>
      <c r="H8" s="337"/>
      <c r="I8" s="580"/>
    </row>
    <row r="9" spans="1:9" s="2" customFormat="1" ht="12.75">
      <c r="A9" s="1519"/>
      <c r="B9" s="1521"/>
      <c r="C9" s="339">
        <v>40237</v>
      </c>
      <c r="D9" s="335"/>
      <c r="E9" s="340">
        <v>40288</v>
      </c>
      <c r="F9" s="1523"/>
      <c r="G9" s="341"/>
      <c r="H9" s="341"/>
      <c r="I9" s="342"/>
    </row>
    <row r="10" spans="1:9" s="2" customFormat="1" ht="12.75">
      <c r="A10" s="1519"/>
      <c r="B10" s="1521"/>
      <c r="C10" s="335">
        <v>40420</v>
      </c>
      <c r="D10" s="341"/>
      <c r="E10" s="340">
        <v>40512</v>
      </c>
      <c r="F10" s="367" t="s">
        <v>192</v>
      </c>
      <c r="G10" s="341"/>
      <c r="H10" s="341"/>
      <c r="I10" s="342"/>
    </row>
    <row r="11" spans="1:9" s="2" customFormat="1" ht="12.75">
      <c r="A11" s="1519"/>
      <c r="B11" s="1521"/>
      <c r="C11" s="335">
        <v>40602</v>
      </c>
      <c r="D11" s="344"/>
      <c r="E11" s="336">
        <v>40596</v>
      </c>
      <c r="F11" s="343" t="s">
        <v>506</v>
      </c>
      <c r="G11" s="343"/>
      <c r="H11" s="337"/>
      <c r="I11" s="342"/>
    </row>
    <row r="12" spans="1:9" s="2" customFormat="1" ht="12.75">
      <c r="A12" s="1519"/>
      <c r="B12" s="1521"/>
      <c r="C12" s="335">
        <v>40785</v>
      </c>
      <c r="D12" s="344"/>
      <c r="E12" s="343"/>
      <c r="F12" s="343"/>
      <c r="G12" s="343"/>
      <c r="H12" s="337"/>
      <c r="I12" s="342"/>
    </row>
    <row r="13" spans="1:9" s="2" customFormat="1" ht="12.75">
      <c r="A13" s="1519"/>
      <c r="B13" s="1521"/>
      <c r="C13" s="335">
        <v>40968</v>
      </c>
      <c r="D13" s="344"/>
      <c r="E13" s="343"/>
      <c r="F13" s="343"/>
      <c r="G13" s="343"/>
      <c r="H13" s="337"/>
      <c r="I13" s="342"/>
    </row>
    <row r="14" spans="1:9" s="2" customFormat="1" ht="12.75">
      <c r="A14" s="1519"/>
      <c r="B14" s="1521"/>
      <c r="C14" s="335">
        <v>41151</v>
      </c>
      <c r="D14" s="344"/>
      <c r="E14" s="343"/>
      <c r="F14" s="343"/>
      <c r="G14" s="343"/>
      <c r="H14" s="337"/>
      <c r="I14" s="342"/>
    </row>
    <row r="15" spans="1:9" ht="15.75" thickBot="1">
      <c r="A15" s="1515" t="s">
        <v>48</v>
      </c>
      <c r="B15" s="1516"/>
      <c r="C15" s="1516"/>
      <c r="D15" s="1516"/>
      <c r="E15" s="1516"/>
      <c r="F15" s="1516"/>
      <c r="G15" s="1516"/>
      <c r="H15" s="1516"/>
      <c r="I15" s="1517"/>
    </row>
    <row r="16" spans="1:9" s="2" customFormat="1" ht="12.75">
      <c r="A16" s="448" t="s">
        <v>410</v>
      </c>
      <c r="B16" s="1524" t="s">
        <v>53</v>
      </c>
      <c r="C16" s="1524"/>
      <c r="D16" s="1524"/>
      <c r="E16" s="1524"/>
      <c r="F16" s="1524"/>
      <c r="G16" s="1524"/>
      <c r="H16" s="1524"/>
      <c r="I16" s="345"/>
    </row>
    <row r="17" spans="1:9" s="2" customFormat="1" ht="25.5">
      <c r="A17" s="449" t="s">
        <v>565</v>
      </c>
      <c r="B17" s="346" t="s">
        <v>40</v>
      </c>
      <c r="C17" s="335">
        <v>40137</v>
      </c>
      <c r="D17" s="347"/>
      <c r="E17" s="335" t="s">
        <v>403</v>
      </c>
      <c r="F17" s="344" t="s">
        <v>404</v>
      </c>
      <c r="G17" s="335">
        <v>40064</v>
      </c>
      <c r="H17" s="344" t="s">
        <v>405</v>
      </c>
      <c r="I17" s="348"/>
    </row>
    <row r="18" spans="1:9" s="2" customFormat="1" ht="15">
      <c r="A18" s="449" t="s">
        <v>566</v>
      </c>
      <c r="B18" s="346" t="s">
        <v>41</v>
      </c>
      <c r="C18" s="335">
        <v>40137</v>
      </c>
      <c r="D18" s="347"/>
      <c r="E18" s="335">
        <v>39944</v>
      </c>
      <c r="F18" s="344" t="s">
        <v>411</v>
      </c>
      <c r="G18" s="335">
        <v>39984</v>
      </c>
      <c r="H18" s="347"/>
      <c r="I18" s="348"/>
    </row>
    <row r="19" spans="1:9" s="2" customFormat="1" ht="15">
      <c r="A19" s="449" t="s">
        <v>567</v>
      </c>
      <c r="B19" s="346" t="s">
        <v>42</v>
      </c>
      <c r="C19" s="335">
        <v>40137</v>
      </c>
      <c r="D19" s="344"/>
      <c r="E19" s="336">
        <v>39944</v>
      </c>
      <c r="F19" s="343" t="s">
        <v>412</v>
      </c>
      <c r="G19" s="336">
        <v>40009</v>
      </c>
      <c r="H19" s="349" t="s">
        <v>413</v>
      </c>
      <c r="I19" s="342"/>
    </row>
    <row r="20" spans="1:9" s="2" customFormat="1" ht="12.75">
      <c r="A20" s="450" t="s">
        <v>568</v>
      </c>
      <c r="B20" s="346" t="s">
        <v>572</v>
      </c>
      <c r="C20" s="335">
        <v>40137</v>
      </c>
      <c r="D20" s="344"/>
      <c r="E20" s="336">
        <v>40036</v>
      </c>
      <c r="F20" s="343" t="s">
        <v>414</v>
      </c>
      <c r="G20" s="343"/>
      <c r="H20" s="337"/>
      <c r="I20" s="342"/>
    </row>
    <row r="21" spans="1:9" s="2" customFormat="1" ht="12.75">
      <c r="A21" s="450" t="s">
        <v>569</v>
      </c>
      <c r="B21" s="346" t="s">
        <v>43</v>
      </c>
      <c r="C21" s="335">
        <v>40137</v>
      </c>
      <c r="D21" s="344"/>
      <c r="E21" s="336">
        <v>39944</v>
      </c>
      <c r="F21" s="343" t="s">
        <v>415</v>
      </c>
      <c r="G21" s="336">
        <v>40002</v>
      </c>
      <c r="H21" s="349" t="s">
        <v>416</v>
      </c>
      <c r="I21" s="342"/>
    </row>
    <row r="22" spans="1:9" s="2" customFormat="1" ht="12.75">
      <c r="A22" s="450" t="s">
        <v>570</v>
      </c>
      <c r="B22" s="346" t="s">
        <v>44</v>
      </c>
      <c r="C22" s="335">
        <v>40137</v>
      </c>
      <c r="D22" s="344"/>
      <c r="E22" s="336">
        <v>39944</v>
      </c>
      <c r="F22" s="343" t="s">
        <v>417</v>
      </c>
      <c r="G22" s="336">
        <v>40009</v>
      </c>
      <c r="H22" s="337"/>
      <c r="I22" s="342"/>
    </row>
    <row r="23" spans="1:9" s="2" customFormat="1" ht="13.5" thickBot="1">
      <c r="A23" s="450" t="s">
        <v>571</v>
      </c>
      <c r="B23" s="350" t="s">
        <v>45</v>
      </c>
      <c r="C23" s="351">
        <v>40137</v>
      </c>
      <c r="D23" s="352"/>
      <c r="E23" s="353">
        <v>39944</v>
      </c>
      <c r="F23" s="354" t="s">
        <v>418</v>
      </c>
      <c r="G23" s="353">
        <v>40010</v>
      </c>
      <c r="H23" s="355"/>
      <c r="I23" s="356"/>
    </row>
    <row r="24" spans="1:9" s="2" customFormat="1" ht="12.75">
      <c r="A24" s="1525" t="s">
        <v>419</v>
      </c>
      <c r="B24" s="1520" t="s">
        <v>51</v>
      </c>
      <c r="C24" s="357">
        <v>39843</v>
      </c>
      <c r="D24" s="357">
        <v>40056</v>
      </c>
      <c r="E24" s="357">
        <v>40045</v>
      </c>
      <c r="F24" s="358" t="s">
        <v>420</v>
      </c>
      <c r="G24" s="357">
        <v>40046</v>
      </c>
      <c r="H24" s="359" t="s">
        <v>421</v>
      </c>
      <c r="I24" s="345"/>
    </row>
    <row r="25" spans="1:9" s="2" customFormat="1" ht="12.75">
      <c r="A25" s="1525"/>
      <c r="B25" s="1521"/>
      <c r="C25" s="335">
        <v>40208</v>
      </c>
      <c r="D25" s="335">
        <v>40237</v>
      </c>
      <c r="E25" s="335">
        <v>40242</v>
      </c>
      <c r="F25" s="344" t="s">
        <v>422</v>
      </c>
      <c r="G25" s="335">
        <v>40249</v>
      </c>
      <c r="H25" s="344" t="s">
        <v>423</v>
      </c>
      <c r="I25" s="348"/>
    </row>
    <row r="26" spans="1:9" s="2" customFormat="1" ht="12.75">
      <c r="A26" s="1525"/>
      <c r="B26" s="1521"/>
      <c r="C26" s="335">
        <v>40573</v>
      </c>
      <c r="D26" s="335">
        <v>40602</v>
      </c>
      <c r="E26" s="818">
        <v>40596</v>
      </c>
      <c r="F26" s="819" t="s">
        <v>507</v>
      </c>
      <c r="G26" s="347"/>
      <c r="H26" s="347"/>
      <c r="I26" s="348"/>
    </row>
    <row r="27" spans="1:9" s="2" customFormat="1" ht="13.5" thickBot="1">
      <c r="A27" s="1526"/>
      <c r="B27" s="1527"/>
      <c r="C27" s="351">
        <v>40938</v>
      </c>
      <c r="D27" s="351">
        <v>41271</v>
      </c>
      <c r="E27" s="360"/>
      <c r="F27" s="360"/>
      <c r="G27" s="360"/>
      <c r="H27" s="360"/>
      <c r="I27" s="361"/>
    </row>
    <row r="28" spans="1:9" s="2" customFormat="1" ht="12" customHeight="1">
      <c r="A28" s="1534" t="s">
        <v>424</v>
      </c>
      <c r="B28" s="1537" t="s">
        <v>30</v>
      </c>
      <c r="C28" s="357">
        <v>40238</v>
      </c>
      <c r="D28" s="357"/>
      <c r="E28" s="362">
        <v>40234</v>
      </c>
      <c r="F28" s="363" t="s">
        <v>425</v>
      </c>
      <c r="G28" s="363"/>
      <c r="H28" s="364"/>
      <c r="I28" s="365" t="s">
        <v>426</v>
      </c>
    </row>
    <row r="29" spans="1:9" s="2" customFormat="1" ht="12" customHeight="1">
      <c r="A29" s="1535"/>
      <c r="B29" s="1538"/>
      <c r="C29" s="335">
        <v>40603</v>
      </c>
      <c r="D29" s="344"/>
      <c r="E29" s="336">
        <v>40596</v>
      </c>
      <c r="F29" s="343" t="s">
        <v>508</v>
      </c>
      <c r="G29" s="343"/>
      <c r="H29" s="337"/>
      <c r="I29" s="342"/>
    </row>
    <row r="30" spans="1:9" s="2" customFormat="1" ht="12" customHeight="1">
      <c r="A30" s="1535"/>
      <c r="B30" s="1538"/>
      <c r="C30" s="335">
        <v>40969</v>
      </c>
      <c r="D30" s="344"/>
      <c r="E30" s="343"/>
      <c r="F30" s="343"/>
      <c r="G30" s="343"/>
      <c r="H30" s="337"/>
      <c r="I30" s="342"/>
    </row>
    <row r="31" spans="1:9" s="2" customFormat="1" ht="13.5" thickBot="1">
      <c r="A31" s="1536"/>
      <c r="B31" s="1538"/>
      <c r="C31" s="351">
        <v>41334</v>
      </c>
      <c r="D31" s="352"/>
      <c r="E31" s="354"/>
      <c r="F31" s="354"/>
      <c r="G31" s="354"/>
      <c r="H31" s="355"/>
      <c r="I31" s="356"/>
    </row>
    <row r="32" spans="1:9" s="2" customFormat="1" ht="12.75">
      <c r="A32" s="1539" t="s">
        <v>427</v>
      </c>
      <c r="B32" s="1542" t="s">
        <v>52</v>
      </c>
      <c r="C32" s="357">
        <v>40055</v>
      </c>
      <c r="D32" s="366"/>
      <c r="E32" s="362">
        <v>40048</v>
      </c>
      <c r="F32" s="363" t="s">
        <v>428</v>
      </c>
      <c r="G32" s="362">
        <v>40073</v>
      </c>
      <c r="H32" s="364" t="s">
        <v>429</v>
      </c>
      <c r="I32" s="574"/>
    </row>
    <row r="33" spans="1:9" s="2" customFormat="1" ht="12.75">
      <c r="A33" s="1540"/>
      <c r="B33" s="1543"/>
      <c r="C33" s="335">
        <v>40237</v>
      </c>
      <c r="D33" s="341"/>
      <c r="E33" s="335">
        <v>40234</v>
      </c>
      <c r="F33" s="367" t="s">
        <v>430</v>
      </c>
      <c r="G33" s="340">
        <v>40241</v>
      </c>
      <c r="H33" s="367" t="s">
        <v>431</v>
      </c>
      <c r="I33" s="575"/>
    </row>
    <row r="34" spans="1:9" s="2" customFormat="1" ht="12.75">
      <c r="A34" s="1540"/>
      <c r="B34" s="1543"/>
      <c r="C34" s="335">
        <v>40420</v>
      </c>
      <c r="D34" s="368"/>
      <c r="E34" s="336">
        <v>40424</v>
      </c>
      <c r="F34" s="343" t="s">
        <v>101</v>
      </c>
      <c r="G34" s="336">
        <v>40430</v>
      </c>
      <c r="H34" s="337" t="s">
        <v>102</v>
      </c>
      <c r="I34" s="342"/>
    </row>
    <row r="35" spans="1:9" s="2" customFormat="1" ht="12.75">
      <c r="A35" s="1540"/>
      <c r="B35" s="1543"/>
      <c r="C35" s="335">
        <v>40602</v>
      </c>
      <c r="D35" s="344"/>
      <c r="E35" s="336">
        <v>40596</v>
      </c>
      <c r="F35" s="343" t="s">
        <v>509</v>
      </c>
      <c r="G35" s="343"/>
      <c r="H35" s="337"/>
      <c r="I35" s="342"/>
    </row>
    <row r="36" spans="1:9" s="2" customFormat="1" ht="12.75">
      <c r="A36" s="1540"/>
      <c r="B36" s="1543"/>
      <c r="C36" s="335">
        <v>40785</v>
      </c>
      <c r="D36" s="344"/>
      <c r="E36" s="343"/>
      <c r="F36" s="343"/>
      <c r="G36" s="343"/>
      <c r="H36" s="337"/>
      <c r="I36" s="342"/>
    </row>
    <row r="37" spans="1:9" s="2" customFormat="1" ht="12.75">
      <c r="A37" s="1540"/>
      <c r="B37" s="1543"/>
      <c r="C37" s="335">
        <v>40968</v>
      </c>
      <c r="D37" s="344"/>
      <c r="E37" s="343"/>
      <c r="F37" s="343"/>
      <c r="G37" s="343"/>
      <c r="H37" s="337"/>
      <c r="I37" s="342"/>
    </row>
    <row r="38" spans="1:9" s="2" customFormat="1" ht="13.5" thickBot="1">
      <c r="A38" s="1541"/>
      <c r="B38" s="1544"/>
      <c r="C38" s="369">
        <v>41151</v>
      </c>
      <c r="D38" s="370"/>
      <c r="E38" s="371"/>
      <c r="F38" s="371"/>
      <c r="G38" s="371"/>
      <c r="H38" s="372"/>
      <c r="I38" s="373"/>
    </row>
    <row r="39" spans="1:9" s="2" customFormat="1" ht="51">
      <c r="A39" s="1528" t="s">
        <v>432</v>
      </c>
      <c r="B39" s="1531" t="s">
        <v>31</v>
      </c>
      <c r="C39" s="357">
        <v>40298</v>
      </c>
      <c r="D39" s="1269">
        <v>40693</v>
      </c>
      <c r="E39" s="363"/>
      <c r="F39" s="482"/>
      <c r="G39" s="483"/>
      <c r="H39" s="484"/>
      <c r="I39" s="338" t="s">
        <v>450</v>
      </c>
    </row>
    <row r="40" spans="1:9" s="2" customFormat="1" ht="12.75">
      <c r="A40" s="1529"/>
      <c r="B40" s="1532"/>
      <c r="C40" s="335">
        <v>40663</v>
      </c>
      <c r="D40" s="344"/>
      <c r="E40" s="343"/>
      <c r="F40" s="343"/>
      <c r="G40" s="343"/>
      <c r="H40" s="337"/>
      <c r="I40" s="342"/>
    </row>
    <row r="41" spans="1:9" s="2" customFormat="1" ht="12.75">
      <c r="A41" s="1529"/>
      <c r="B41" s="1532"/>
      <c r="C41" s="335">
        <v>41029</v>
      </c>
      <c r="D41" s="344"/>
      <c r="E41" s="343"/>
      <c r="F41" s="343"/>
      <c r="G41" s="343"/>
      <c r="H41" s="337"/>
      <c r="I41" s="342"/>
    </row>
    <row r="42" spans="1:9" s="2" customFormat="1" ht="12.75">
      <c r="A42" s="1529"/>
      <c r="B42" s="1532"/>
      <c r="C42" s="335">
        <v>41394</v>
      </c>
      <c r="D42" s="344"/>
      <c r="E42" s="343"/>
      <c r="F42" s="343"/>
      <c r="G42" s="343"/>
      <c r="H42" s="337"/>
      <c r="I42" s="342"/>
    </row>
    <row r="43" spans="1:9" s="2" customFormat="1" ht="13.5" thickBot="1">
      <c r="A43" s="1530"/>
      <c r="B43" s="1533"/>
      <c r="C43" s="369">
        <v>41547</v>
      </c>
      <c r="D43" s="370"/>
      <c r="E43" s="374"/>
      <c r="F43" s="374"/>
      <c r="G43" s="374"/>
      <c r="H43" s="375"/>
      <c r="I43" s="373"/>
    </row>
  </sheetData>
  <sheetProtection/>
  <mergeCells count="15">
    <mergeCell ref="B16:H16"/>
    <mergeCell ref="A24:A27"/>
    <mergeCell ref="B24:B27"/>
    <mergeCell ref="A39:A43"/>
    <mergeCell ref="B39:B43"/>
    <mergeCell ref="A28:A31"/>
    <mergeCell ref="B28:B31"/>
    <mergeCell ref="A32:A38"/>
    <mergeCell ref="B32:B38"/>
    <mergeCell ref="A2:I2"/>
    <mergeCell ref="A4:I4"/>
    <mergeCell ref="A15:I15"/>
    <mergeCell ref="A8:A14"/>
    <mergeCell ref="B8:B14"/>
    <mergeCell ref="F8:F9"/>
  </mergeCells>
  <printOptions horizontalCentered="1" verticalCentered="1"/>
  <pageMargins left="0.14" right="0.26" top="0.5" bottom="0.23" header="0.34" footer="0.15"/>
  <pageSetup horizontalDpi="300" verticalDpi="300" orientation="landscape"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Planus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LPimentel</cp:lastModifiedBy>
  <cp:lastPrinted>2011-03-18T13:45:47Z</cp:lastPrinted>
  <dcterms:created xsi:type="dcterms:W3CDTF">2005-08-01T19:36:02Z</dcterms:created>
  <dcterms:modified xsi:type="dcterms:W3CDTF">2011-07-05T12:30:54Z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